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urrent files\pubs and projects\Beijing Oct 9 2017\Presentations\Day 3 Soil amendments and bioretention\"/>
    </mc:Choice>
  </mc:AlternateContent>
  <bookViews>
    <workbookView xWindow="75" yWindow="60" windowWidth="1548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Sheet1!$A$1:$I$44</definedName>
  </definedNames>
  <calcPr calcId="152511"/>
</workbook>
</file>

<file path=xl/calcChain.xml><?xml version="1.0" encoding="utf-8"?>
<calcChain xmlns="http://schemas.openxmlformats.org/spreadsheetml/2006/main">
  <c r="I194" i="1" l="1"/>
  <c r="E164" i="1"/>
  <c r="G164" i="1" s="1"/>
  <c r="G121" i="1"/>
  <c r="D63" i="1" l="1"/>
  <c r="I51" i="1"/>
  <c r="K51" i="1" s="1"/>
  <c r="E59" i="1"/>
  <c r="F59" i="1" s="1"/>
  <c r="G59" i="1" s="1"/>
  <c r="E58" i="1"/>
  <c r="F58" i="1" s="1"/>
  <c r="G58" i="1" s="1"/>
  <c r="E57" i="1"/>
  <c r="F57" i="1" s="1"/>
  <c r="G57" i="1" s="1"/>
  <c r="E53" i="1"/>
  <c r="F53" i="1" s="1"/>
  <c r="G53" i="1" s="1"/>
  <c r="E52" i="1"/>
  <c r="F52" i="1" s="1"/>
  <c r="G52" i="1" s="1"/>
  <c r="E51" i="1"/>
  <c r="F51" i="1" s="1"/>
  <c r="G51" i="1" s="1"/>
  <c r="L59" i="1" l="1"/>
  <c r="M59" i="1" s="1"/>
  <c r="L58" i="1"/>
  <c r="M58" i="1" s="1"/>
  <c r="L57" i="1"/>
  <c r="M57" i="1" s="1"/>
  <c r="L53" i="1"/>
  <c r="M53" i="1" s="1"/>
  <c r="L51" i="1"/>
  <c r="M51" i="1" s="1"/>
  <c r="L52" i="1"/>
  <c r="M52" i="1" s="1"/>
  <c r="C40" i="1" l="1"/>
  <c r="C41" i="1"/>
  <c r="C42" i="1"/>
  <c r="D30" i="1"/>
  <c r="D31" i="1"/>
  <c r="D32" i="1"/>
  <c r="A19" i="1"/>
  <c r="G21" i="1"/>
  <c r="H27" i="1"/>
  <c r="C43" i="1"/>
  <c r="C44" i="1" s="1"/>
  <c r="F19" i="1" l="1"/>
  <c r="F43" i="1"/>
  <c r="F30" i="1"/>
  <c r="H45" i="1" s="1"/>
  <c r="D27" i="1"/>
  <c r="G24" i="1"/>
  <c r="E19" i="1"/>
  <c r="C22" i="1" s="1"/>
  <c r="E63" i="1" l="1"/>
  <c r="G22" i="1"/>
  <c r="B35" i="1"/>
  <c r="D35" i="1" s="1"/>
  <c r="C23" i="1"/>
  <c r="G40" i="1"/>
  <c r="G41" i="1" s="1"/>
  <c r="D74" i="1" l="1"/>
  <c r="G247" i="1" s="1"/>
  <c r="K247" i="1" s="1"/>
  <c r="D73" i="1"/>
  <c r="G246" i="1" s="1"/>
  <c r="K246" i="1" s="1"/>
  <c r="D69" i="1"/>
  <c r="G242" i="1" s="1"/>
  <c r="K242" i="1" s="1"/>
  <c r="D67" i="1"/>
  <c r="G240" i="1" s="1"/>
  <c r="K240" i="1" s="1"/>
  <c r="D68" i="1"/>
  <c r="G241" i="1" s="1"/>
  <c r="K241" i="1" s="1"/>
  <c r="D72" i="1"/>
  <c r="G245" i="1" s="1"/>
  <c r="K245" i="1" s="1"/>
  <c r="G23" i="1"/>
  <c r="B36" i="1"/>
  <c r="H36" i="1" s="1"/>
  <c r="E69" i="1" l="1"/>
  <c r="F69" i="1" s="1"/>
  <c r="F109" i="1"/>
  <c r="F128" i="1"/>
  <c r="G128" i="1" s="1"/>
  <c r="H128" i="1" s="1"/>
  <c r="I128" i="1" s="1"/>
  <c r="E73" i="1"/>
  <c r="F73" i="1" s="1"/>
  <c r="F113" i="1"/>
  <c r="F132" i="1"/>
  <c r="G132" i="1" s="1"/>
  <c r="H132" i="1" s="1"/>
  <c r="I132" i="1" s="1"/>
  <c r="E72" i="1"/>
  <c r="F72" i="1" s="1"/>
  <c r="F131" i="1"/>
  <c r="G131" i="1" s="1"/>
  <c r="H131" i="1" s="1"/>
  <c r="I131" i="1" s="1"/>
  <c r="F112" i="1"/>
  <c r="E68" i="1"/>
  <c r="F68" i="1" s="1"/>
  <c r="F127" i="1"/>
  <c r="G127" i="1" s="1"/>
  <c r="H127" i="1" s="1"/>
  <c r="I127" i="1" s="1"/>
  <c r="F108" i="1"/>
  <c r="E67" i="1"/>
  <c r="F67" i="1" s="1"/>
  <c r="F126" i="1"/>
  <c r="G126" i="1" s="1"/>
  <c r="H126" i="1" s="1"/>
  <c r="I126" i="1" s="1"/>
  <c r="F107" i="1"/>
  <c r="E74" i="1"/>
  <c r="F74" i="1" s="1"/>
  <c r="F114" i="1"/>
  <c r="F133" i="1"/>
  <c r="G133" i="1" s="1"/>
  <c r="H133" i="1" s="1"/>
  <c r="I133" i="1" s="1"/>
  <c r="H108" i="1" l="1"/>
  <c r="G108" i="1"/>
  <c r="I108" i="1" s="1"/>
  <c r="J108" i="1" s="1"/>
  <c r="G112" i="1"/>
  <c r="H112" i="1"/>
  <c r="H113" i="1"/>
  <c r="G113" i="1"/>
  <c r="H107" i="1"/>
  <c r="G107" i="1"/>
  <c r="G109" i="1"/>
  <c r="H109" i="1"/>
  <c r="H114" i="1"/>
  <c r="G114" i="1"/>
  <c r="I107" i="1" l="1"/>
  <c r="J107" i="1" s="1"/>
  <c r="I114" i="1"/>
  <c r="J114" i="1" s="1"/>
  <c r="F168" i="1"/>
  <c r="G168" i="1" s="1"/>
  <c r="H168" i="1" s="1"/>
  <c r="F240" i="1"/>
  <c r="H240" i="1" s="1"/>
  <c r="I240" i="1" s="1"/>
  <c r="J240" i="1" s="1"/>
  <c r="L240" i="1" s="1"/>
  <c r="N240" i="1" s="1"/>
  <c r="J126" i="1"/>
  <c r="M240" i="1" s="1"/>
  <c r="I109" i="1"/>
  <c r="J109" i="1" s="1"/>
  <c r="F169" i="1"/>
  <c r="G169" i="1" s="1"/>
  <c r="H169" i="1" s="1"/>
  <c r="F241" i="1"/>
  <c r="H241" i="1" s="1"/>
  <c r="I241" i="1" s="1"/>
  <c r="J241" i="1" s="1"/>
  <c r="L241" i="1" s="1"/>
  <c r="N241" i="1" s="1"/>
  <c r="J127" i="1"/>
  <c r="M241" i="1" s="1"/>
  <c r="J133" i="1"/>
  <c r="M247" i="1" s="1"/>
  <c r="F247" i="1"/>
  <c r="H247" i="1" s="1"/>
  <c r="I247" i="1" s="1"/>
  <c r="J247" i="1" s="1"/>
  <c r="L247" i="1" s="1"/>
  <c r="N247" i="1" s="1"/>
  <c r="F175" i="1"/>
  <c r="G175" i="1" s="1"/>
  <c r="H175" i="1" s="1"/>
  <c r="I113" i="1"/>
  <c r="J113" i="1" s="1"/>
  <c r="I112" i="1"/>
  <c r="J112" i="1" s="1"/>
  <c r="F246" i="1" l="1"/>
  <c r="H246" i="1" s="1"/>
  <c r="I246" i="1" s="1"/>
  <c r="J246" i="1" s="1"/>
  <c r="L246" i="1" s="1"/>
  <c r="J132" i="1"/>
  <c r="M246" i="1" s="1"/>
  <c r="F174" i="1"/>
  <c r="G174" i="1" s="1"/>
  <c r="H174" i="1" s="1"/>
  <c r="J128" i="1"/>
  <c r="M242" i="1" s="1"/>
  <c r="F170" i="1"/>
  <c r="G170" i="1" s="1"/>
  <c r="H170" i="1" s="1"/>
  <c r="F242" i="1"/>
  <c r="H242" i="1" s="1"/>
  <c r="I242" i="1" s="1"/>
  <c r="J242" i="1" s="1"/>
  <c r="L242" i="1" s="1"/>
  <c r="N242" i="1" s="1"/>
  <c r="F173" i="1"/>
  <c r="G173" i="1" s="1"/>
  <c r="H173" i="1" s="1"/>
  <c r="J131" i="1"/>
  <c r="M245" i="1" s="1"/>
  <c r="F245" i="1"/>
  <c r="H245" i="1" s="1"/>
  <c r="I245" i="1" s="1"/>
  <c r="J245" i="1" s="1"/>
  <c r="L245" i="1" s="1"/>
  <c r="N245" i="1" s="1"/>
  <c r="N246" i="1" l="1"/>
</calcChain>
</file>

<file path=xl/sharedStrings.xml><?xml version="1.0" encoding="utf-8"?>
<sst xmlns="http://schemas.openxmlformats.org/spreadsheetml/2006/main" count="245" uniqueCount="174">
  <si>
    <t>medium density residential</t>
  </si>
  <si>
    <t>low density residential</t>
  </si>
  <si>
    <t>high density residential</t>
  </si>
  <si>
    <t xml:space="preserve">commercial </t>
  </si>
  <si>
    <t xml:space="preserve">industrial </t>
  </si>
  <si>
    <t>paved parking, streets and walks</t>
  </si>
  <si>
    <t>unpaved parking and storage</t>
  </si>
  <si>
    <t>"Simple" method:</t>
  </si>
  <si>
    <t>flat roofs</t>
  </si>
  <si>
    <t>Surface or area:</t>
  </si>
  <si>
    <t>Annual Rv</t>
  </si>
  <si>
    <t>annual weighted:</t>
  </si>
  <si>
    <t>Area (ha)</t>
  </si>
  <si>
    <r>
      <t>Annual rain total (mm)</t>
    </r>
    <r>
      <rPr>
        <sz val="10"/>
        <rFont val="Arial"/>
        <family val="2"/>
      </rPr>
      <t>:</t>
    </r>
  </si>
  <si>
    <t>Annual total runoff (m3):</t>
  </si>
  <si>
    <t>inches per year:</t>
  </si>
  <si>
    <t>ft3 per year:</t>
  </si>
  <si>
    <t>lb per year:</t>
  </si>
  <si>
    <t>acres:</t>
  </si>
  <si>
    <t>Na (ppm):</t>
  </si>
  <si>
    <t>Ca (ppm):</t>
  </si>
  <si>
    <t>Mg (ppm):</t>
  </si>
  <si>
    <t>Runoff Water Characteristics:</t>
  </si>
  <si>
    <t>Ca (mg.L):</t>
  </si>
  <si>
    <t>Mg (mg.L):</t>
  </si>
  <si>
    <t>K (mg/L):</t>
  </si>
  <si>
    <t>CEC (meq/100g):</t>
  </si>
  <si>
    <t>meq/L</t>
  </si>
  <si>
    <t>total cations:</t>
  </si>
  <si>
    <t>dry soil density (g/cc):</t>
  </si>
  <si>
    <t>total CEC content of soil (meq):</t>
  </si>
  <si>
    <t>total cations meq/year:</t>
  </si>
  <si>
    <t>approx. CEC life (years):</t>
  </si>
  <si>
    <t>meq</t>
  </si>
  <si>
    <t>problem if &gt;5 for some clays, otherwise problem if &gt;15, but depends on soil conductivity</t>
  </si>
  <si>
    <t>Water SAR:</t>
  </si>
  <si>
    <t>Surface loading rate:</t>
  </si>
  <si>
    <t>meters/year</t>
  </si>
  <si>
    <t>kg/m2/year</t>
  </si>
  <si>
    <t>est clogging (kg/m2):</t>
  </si>
  <si>
    <t>avg meters/day (should be &lt;1)</t>
  </si>
  <si>
    <t>est life before flow problem (years):</t>
  </si>
  <si>
    <t>Fill in values highlighted in yellow, and don't change other cells. Examine orange cells.</t>
  </si>
  <si>
    <t>landscaped with sandy soils</t>
  </si>
  <si>
    <t>landscaped with silty soils</t>
  </si>
  <si>
    <t>landscaped with clayey soils</t>
  </si>
  <si>
    <t xml:space="preserve">pitched roofs </t>
  </si>
  <si>
    <t>% of drainage:</t>
  </si>
  <si>
    <t>Ratio of water SAR to original soil SAR:</t>
  </si>
  <si>
    <t xml:space="preserve">degrading </t>
  </si>
  <si>
    <t>does not consider sorption</t>
  </si>
  <si>
    <t>freeways/highways</t>
  </si>
  <si>
    <t xml:space="preserve">can be </t>
  </si>
  <si>
    <t>vegetation</t>
  </si>
  <si>
    <t>Na (mg/L) (snowmelt?):</t>
  </si>
  <si>
    <t>Particulate Solids, mg/L</t>
  </si>
  <si>
    <t>Annual total particulate solids (kg):</t>
  </si>
  <si>
    <t>Infiltration Device and Media/Soil Properties (samples represent 0.5 m in depth):</t>
  </si>
  <si>
    <t>Media/Soil SAR:</t>
  </si>
  <si>
    <t>extended with vigorous</t>
  </si>
  <si>
    <t>media/soil SAR conditions if &gt;1</t>
  </si>
  <si>
    <t>R. Pitt   September 28 2017</t>
  </si>
  <si>
    <t>Loading and Life of Infiltration Device (verify designs with continuous models and field verification) and media drainage time and underdrain spacing</t>
  </si>
  <si>
    <t>Low Organic Matter Content (&lt;10%):</t>
  </si>
  <si>
    <t>High Organic Matter Content (&gt;10%):</t>
  </si>
  <si>
    <t xml:space="preserve"> Cu</t>
  </si>
  <si>
    <t>low</t>
  </si>
  <si>
    <t>moderate</t>
  </si>
  <si>
    <t>high</t>
  </si>
  <si>
    <t>log Fc</t>
  </si>
  <si>
    <t xml:space="preserve"> log Fc</t>
  </si>
  <si>
    <t>Flow Rate Through Biofilter Media:</t>
  </si>
  <si>
    <t>compaction</t>
  </si>
  <si>
    <t xml:space="preserve"> Fc (cm/hr)</t>
  </si>
  <si>
    <t>Fc (in/hr)</t>
  </si>
  <si>
    <t xml:space="preserve"> D50 (mm)</t>
  </si>
  <si>
    <t>porosity</t>
  </si>
  <si>
    <t>residence time (min)</t>
  </si>
  <si>
    <t>media thickness (in)</t>
  </si>
  <si>
    <t>media thickness (m)</t>
  </si>
  <si>
    <t>effective thickness (in)</t>
  </si>
  <si>
    <t>residence time (hr)</t>
  </si>
  <si>
    <t>Required Biofilter Surface Area</t>
  </si>
  <si>
    <t>design rain intensity (in/hr):</t>
  </si>
  <si>
    <t>very approx. peak flow rate (cfs):</t>
  </si>
  <si>
    <t>very approx. biofilter area (ft2):</t>
  </si>
  <si>
    <t>very approx. biofilter area (m2):</t>
  </si>
  <si>
    <t>% of drainage area (%)</t>
  </si>
  <si>
    <t>design rain intensity (mm/hr):</t>
  </si>
  <si>
    <t>select for cell B27: very approx. biofilter area (m2):</t>
  </si>
  <si>
    <t xml:space="preserve">Underdrain </t>
  </si>
  <si>
    <t>Note: these biofilter area calculations do not consider natural infiltraiton or flow routing; just conservative drainage.</t>
  </si>
  <si>
    <t>These are just preliminary estimates and need to be verified thru production curves made using WinSLAMM</t>
  </si>
  <si>
    <t>Where:</t>
  </si>
  <si>
    <r>
      <t>Q</t>
    </r>
    <r>
      <rPr>
        <b/>
        <sz val="11"/>
        <rFont val="Calibri"/>
        <family val="2"/>
      </rPr>
      <t xml:space="preserve"> = </t>
    </r>
    <r>
      <rPr>
        <sz val="11"/>
        <rFont val="Calibri"/>
        <family val="2"/>
      </rPr>
      <t>Predicted flowrate (L/s) [28.32 L per ft</t>
    </r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>]</t>
    </r>
  </si>
  <si>
    <t xml:space="preserve">            </t>
  </si>
  <si>
    <t xml:space="preserve"> </t>
  </si>
  <si>
    <t xml:space="preserve">The restricted flow SmartDrain flow rate was determined by Sileshi (2013) to be: </t>
  </si>
  <si>
    <r>
      <t xml:space="preserve"> L</t>
    </r>
    <r>
      <rPr>
        <sz val="11"/>
        <rFont val="Calibri"/>
        <family val="2"/>
      </rPr>
      <t xml:space="preserve"> = SmartDrain length (ft) [assumed to the square root of the biofilter area):</t>
    </r>
  </si>
  <si>
    <t>SmartDrain length (ft)</t>
  </si>
  <si>
    <r>
      <t>H</t>
    </r>
    <r>
      <rPr>
        <sz val="11"/>
        <rFont val="Calibri"/>
        <family val="2"/>
      </rPr>
      <t xml:space="preserve"> = SmartDrain head (in) = </t>
    </r>
  </si>
  <si>
    <t>inches</t>
  </si>
  <si>
    <t>Flow rate per SmartDrain (L/s)</t>
  </si>
  <si>
    <t>Flow rate per SmartDrain (CFS)</t>
  </si>
  <si>
    <t>Objective is the drain the entire capactiy of the biofilter (free storage plus media void storage) in designated maximum time period (usually 24 or 72 hrs).</t>
  </si>
  <si>
    <t>example cross-section (from WinSLAMM biofilter input screen):</t>
  </si>
  <si>
    <t>free water volume (ft3)</t>
  </si>
  <si>
    <t>media void ratio:</t>
  </si>
  <si>
    <t>water volume in media (ft3)</t>
  </si>
  <si>
    <t>total biofilter water capacity (ft3)</t>
  </si>
  <si>
    <t>hrs</t>
  </si>
  <si>
    <t>drainage time</t>
  </si>
  <si>
    <t>drainage rate (CFS)</t>
  </si>
  <si>
    <t>assume that the surface area (calculated above for different media characteristics and compactions) remains the same for all depth (conservative):</t>
  </si>
  <si>
    <t>number of SmartDrains to meet drainage rate</t>
  </si>
  <si>
    <t>depth above media (free water)</t>
  </si>
  <si>
    <t>depth of media+drain layer above underdrain</t>
  </si>
  <si>
    <t>Restricted Flow Smart Drain</t>
  </si>
  <si>
    <t>Orfice Outlet Control</t>
  </si>
  <si>
    <t>http://www.ct.gov/dot/lib/dot/documents/ddrainage/10.8.pdf</t>
  </si>
  <si>
    <t>solving for the orifice area (A):</t>
  </si>
  <si>
    <r>
      <t>A = Q/[C(2gh)</t>
    </r>
    <r>
      <rPr>
        <vertAlign val="superscript"/>
        <sz val="10"/>
        <rFont val="Arial"/>
        <family val="2"/>
      </rPr>
      <t>0.5</t>
    </r>
    <r>
      <rPr>
        <sz val="10"/>
        <rFont val="Arial"/>
        <family val="2"/>
      </rPr>
      <t>]</t>
    </r>
  </si>
  <si>
    <t>Q, drainage rate (CFS)</t>
  </si>
  <si>
    <t>C</t>
  </si>
  <si>
    <t>H</t>
  </si>
  <si>
    <t>feet</t>
  </si>
  <si>
    <t>A (ft2)</t>
  </si>
  <si>
    <t>general orifice equation to calculate diameter of conventional perforated pipe underdrain, short pipe assumption (or diameter of controlling orifice):</t>
  </si>
  <si>
    <t>Spacing of Underdrains</t>
  </si>
  <si>
    <t>minimum D (inches)</t>
  </si>
  <si>
    <t>The Hooghoudt (1940) equation (described in Sileshi 2013) calculates the spacing of underdrains:</t>
  </si>
  <si>
    <t>s</t>
  </si>
  <si>
    <t>spacing between drains (ft)</t>
  </si>
  <si>
    <t>q</t>
  </si>
  <si>
    <t xml:space="preserve">amount of water that the underdrain carries away (in/day), </t>
  </si>
  <si>
    <r>
      <t>K</t>
    </r>
    <r>
      <rPr>
        <i/>
        <vertAlign val="subscript"/>
        <sz val="11"/>
        <rFont val="Calibri"/>
        <family val="2"/>
      </rPr>
      <t>s</t>
    </r>
  </si>
  <si>
    <t xml:space="preserve">average saturated hydraulic conductivity of the facility media (in/hr), </t>
  </si>
  <si>
    <r>
      <t>d</t>
    </r>
    <r>
      <rPr>
        <i/>
        <vertAlign val="subscript"/>
        <sz val="11"/>
        <rFont val="Calibri"/>
        <family val="2"/>
      </rPr>
      <t>e</t>
    </r>
  </si>
  <si>
    <t>m</t>
  </si>
  <si>
    <t>effective depth (ft) (height of underdrain above the biofilter bottom)</t>
  </si>
  <si>
    <t xml:space="preserve"> Saturated Hydraulic Conductivity (in/hr) of Different Grain Size Sand (US EPA 1986)</t>
  </si>
  <si>
    <t>Grain size class</t>
  </si>
  <si>
    <t xml:space="preserve">Degree of Sorting </t>
  </si>
  <si>
    <t>Poor</t>
  </si>
  <si>
    <t>Moderate</t>
  </si>
  <si>
    <t>Well</t>
  </si>
  <si>
    <t>medium sand</t>
  </si>
  <si>
    <t>medium to coarse sand</t>
  </si>
  <si>
    <t>-</t>
  </si>
  <si>
    <t xml:space="preserve">medium to very coarse sand </t>
  </si>
  <si>
    <t>49-56</t>
  </si>
  <si>
    <t>coarse sand</t>
  </si>
  <si>
    <t xml:space="preserve">coarse sand to very coarse sand </t>
  </si>
  <si>
    <t xml:space="preserve">very coarse sand </t>
  </si>
  <si>
    <t xml:space="preserve">*A hyphen indicates that no data are available </t>
  </si>
  <si>
    <r>
      <t>where D</t>
    </r>
    <r>
      <rPr>
        <vertAlign val="subscript"/>
        <sz val="11"/>
        <rFont val="Calibri"/>
        <family val="2"/>
      </rPr>
      <t>60</t>
    </r>
    <r>
      <rPr>
        <sz val="11"/>
        <rFont val="Calibri"/>
        <family val="2"/>
      </rPr>
      <t xml:space="preserve"> is the grain diameter at 60% passing, D</t>
    </r>
    <r>
      <rPr>
        <vertAlign val="subscript"/>
        <sz val="11"/>
        <rFont val="Calibri"/>
        <family val="2"/>
      </rPr>
      <t>10</t>
    </r>
    <r>
      <rPr>
        <sz val="11"/>
        <rFont val="Calibri"/>
        <family val="2"/>
      </rPr>
      <t xml:space="preserve"> is the grain diameter at 10% passing, and D</t>
    </r>
    <r>
      <rPr>
        <vertAlign val="subscript"/>
        <sz val="11"/>
        <rFont val="Calibri"/>
        <family val="2"/>
      </rPr>
      <t>30</t>
    </r>
    <r>
      <rPr>
        <sz val="11"/>
        <rFont val="Calibri"/>
        <family val="2"/>
      </rPr>
      <t xml:space="preserve"> is the grain diameter at 30% passing. </t>
    </r>
  </si>
  <si>
    <r>
      <t>For a sand to be classified as well graded, C</t>
    </r>
    <r>
      <rPr>
        <vertAlign val="subscript"/>
        <sz val="11"/>
        <rFont val="Calibri"/>
        <family val="2"/>
      </rPr>
      <t>u</t>
    </r>
    <r>
      <rPr>
        <sz val="11"/>
        <rFont val="Calibri"/>
        <family val="2"/>
      </rPr>
      <t xml:space="preserve"> ≤ 6 and 1 &lt; C</t>
    </r>
    <r>
      <rPr>
        <vertAlign val="subscript"/>
        <sz val="11"/>
        <rFont val="Calibri"/>
        <family val="2"/>
      </rPr>
      <t xml:space="preserve">c </t>
    </r>
    <r>
      <rPr>
        <sz val="11"/>
        <rFont val="Calibri"/>
        <family val="2"/>
      </rPr>
      <t>&lt; 3, where C</t>
    </r>
    <r>
      <rPr>
        <vertAlign val="subscript"/>
        <sz val="11"/>
        <rFont val="Calibri"/>
        <family val="2"/>
      </rPr>
      <t>u</t>
    </r>
    <r>
      <rPr>
        <sz val="11"/>
        <rFont val="Calibri"/>
        <family val="2"/>
      </rPr>
      <t xml:space="preserve"> and C</t>
    </r>
    <r>
      <rPr>
        <vertAlign val="subscript"/>
        <sz val="11"/>
        <rFont val="Calibri"/>
        <family val="2"/>
      </rPr>
      <t>c</t>
    </r>
    <r>
      <rPr>
        <sz val="11"/>
        <rFont val="Calibri"/>
        <family val="2"/>
      </rPr>
      <t xml:space="preserve"> are the coefficient of uniformity </t>
    </r>
  </si>
  <si>
    <t>and coefficient of curvature respectively and were calculated using the following equations:</t>
  </si>
  <si>
    <t>ft</t>
  </si>
  <si>
    <t>calculated below</t>
  </si>
  <si>
    <t>in/hr (see table below, based on drainage layer media)</t>
  </si>
  <si>
    <t>very approx. biofilter surface area (ft2)</t>
  </si>
  <si>
    <t>depth of water, or head, created over the pipes (ft) in the drainage layer</t>
  </si>
  <si>
    <t>q, amount underdrain carries away (in/day)</t>
  </si>
  <si>
    <t>calculated maximum underdrain spacing (ft)</t>
  </si>
  <si>
    <t>calc numerator for S:</t>
  </si>
  <si>
    <t>q/24 (in/hr)</t>
  </si>
  <si>
    <t>width of biofilter (ft) (assuming square)</t>
  </si>
  <si>
    <t>minimum number of underdrains needed across biofilter</t>
  </si>
  <si>
    <t>example: previously calculated number of SmartDrains needed</t>
  </si>
  <si>
    <t>Example: Number of SmartDrains needed to meet spacing or drainage time</t>
  </si>
  <si>
    <t>Surface area (m2) (from E66-74):</t>
  </si>
  <si>
    <t>Not all biofilter/bioretention facilities require underdrains! They are usually used to decrease periods of standing water that may cause nuisance conditions. Check with continuous WinSLAMM analyses.</t>
  </si>
  <si>
    <t>Use of underdrains will usually short-circuit infiltration through bottom of bioretention facility, but can also reault in increased concentration reductions by having more water pass through the media.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</si>
</sst>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9" formatCode="0.000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vertAlign val="superscript"/>
      <sz val="11"/>
      <name val="Calibri"/>
      <family val="2"/>
    </font>
    <font>
      <vertAlign val="superscript"/>
      <sz val="10"/>
      <name val="Arial"/>
      <family val="2"/>
    </font>
    <font>
      <i/>
      <vertAlign val="subscript"/>
      <sz val="11"/>
      <name val="Calibri"/>
      <family val="2"/>
    </font>
    <font>
      <sz val="11"/>
      <color rgb="FF000000"/>
      <name val="Calibri"/>
      <family val="2"/>
    </font>
    <font>
      <vertAlign val="subscript"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0" fillId="2" borderId="0" xfId="0" applyFill="1"/>
    <xf numFmtId="0" fontId="0" fillId="2" borderId="0" xfId="0" applyFill="1" applyAlignment="1">
      <alignment horizontal="right"/>
    </xf>
    <xf numFmtId="0" fontId="0" fillId="0" borderId="0" xfId="0" applyAlignment="1">
      <alignment wrapText="1"/>
    </xf>
    <xf numFmtId="0" fontId="0" fillId="0" borderId="0" xfId="0" applyFill="1"/>
    <xf numFmtId="0" fontId="3" fillId="0" borderId="0" xfId="0" applyFont="1"/>
    <xf numFmtId="0" fontId="2" fillId="0" borderId="0" xfId="0" applyFont="1" applyFill="1"/>
    <xf numFmtId="1" fontId="2" fillId="3" borderId="0" xfId="0" applyNumberFormat="1" applyFont="1" applyFill="1"/>
    <xf numFmtId="2" fontId="2" fillId="3" borderId="0" xfId="0" applyNumberFormat="1" applyFont="1" applyFill="1"/>
    <xf numFmtId="2" fontId="0" fillId="0" borderId="0" xfId="0" applyNumberFormat="1"/>
    <xf numFmtId="2" fontId="2" fillId="3" borderId="0" xfId="0" applyNumberFormat="1" applyFont="1" applyFill="1" applyAlignment="1">
      <alignment wrapText="1"/>
    </xf>
    <xf numFmtId="164" fontId="0" fillId="0" borderId="0" xfId="0" applyNumberFormat="1"/>
    <xf numFmtId="164" fontId="0" fillId="3" borderId="0" xfId="0" applyNumberFormat="1" applyFill="1"/>
    <xf numFmtId="3" fontId="0" fillId="0" borderId="0" xfId="0" applyNumberFormat="1"/>
    <xf numFmtId="3" fontId="0" fillId="2" borderId="0" xfId="0" applyNumberFormat="1" applyFill="1"/>
    <xf numFmtId="0" fontId="3" fillId="0" borderId="0" xfId="0" applyFont="1" applyFill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4" borderId="0" xfId="0" applyFill="1"/>
    <xf numFmtId="2" fontId="3" fillId="0" borderId="0" xfId="0" applyNumberFormat="1" applyFont="1"/>
    <xf numFmtId="164" fontId="0" fillId="5" borderId="0" xfId="0" applyNumberFormat="1" applyFill="1"/>
    <xf numFmtId="164" fontId="3" fillId="0" borderId="0" xfId="0" applyNumberFormat="1" applyFont="1"/>
    <xf numFmtId="2" fontId="0" fillId="5" borderId="0" xfId="0" applyNumberFormat="1" applyFill="1"/>
    <xf numFmtId="3" fontId="0" fillId="5" borderId="0" xfId="0" applyNumberFormat="1" applyFill="1"/>
    <xf numFmtId="164" fontId="0" fillId="0" borderId="0" xfId="0" applyNumberFormat="1" applyFill="1"/>
    <xf numFmtId="3" fontId="0" fillId="0" borderId="0" xfId="0" applyNumberFormat="1" applyFill="1"/>
    <xf numFmtId="2" fontId="0" fillId="0" borderId="0" xfId="0" applyNumberFormat="1" applyFill="1"/>
    <xf numFmtId="0" fontId="3" fillId="5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6" fillId="0" borderId="0" xfId="0" applyFont="1"/>
    <xf numFmtId="0" fontId="6" fillId="0" borderId="0" xfId="0" applyFont="1" applyAlignment="1">
      <alignment vertical="center"/>
    </xf>
    <xf numFmtId="1" fontId="0" fillId="0" borderId="0" xfId="0" applyNumberFormat="1"/>
    <xf numFmtId="169" fontId="0" fillId="0" borderId="0" xfId="0" applyNumberFormat="1"/>
    <xf numFmtId="0" fontId="0" fillId="5" borderId="0" xfId="0" applyFill="1"/>
    <xf numFmtId="1" fontId="0" fillId="5" borderId="0" xfId="0" applyNumberFormat="1" applyFill="1"/>
    <xf numFmtId="0" fontId="6" fillId="0" borderId="0" xfId="0" applyFont="1" applyAlignment="1">
      <alignment horizontal="justify" vertical="center"/>
    </xf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3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338138</xdr:colOff>
      <xdr:row>180</xdr:row>
      <xdr:rowOff>11907</xdr:rowOff>
    </xdr:from>
    <xdr:to>
      <xdr:col>3</xdr:col>
      <xdr:colOff>652463</xdr:colOff>
      <xdr:row>182</xdr:row>
      <xdr:rowOff>159546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4663" y="33616107"/>
          <a:ext cx="1533525" cy="471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117</xdr:row>
      <xdr:rowOff>0</xdr:rowOff>
    </xdr:from>
    <xdr:to>
      <xdr:col>4</xdr:col>
      <xdr:colOff>85725</xdr:colOff>
      <xdr:row>118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4497050"/>
          <a:ext cx="23050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773906</xdr:colOff>
      <xdr:row>82</xdr:row>
      <xdr:rowOff>154782</xdr:rowOff>
    </xdr:from>
    <xdr:to>
      <xdr:col>6</xdr:col>
      <xdr:colOff>214314</xdr:colOff>
      <xdr:row>96</xdr:row>
      <xdr:rowOff>71438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8313" t="53132" r="26619" b="27178"/>
        <a:stretch/>
      </xdr:blipFill>
      <xdr:spPr>
        <a:xfrm>
          <a:off x="2464594" y="14597063"/>
          <a:ext cx="4583908" cy="2250281"/>
        </a:xfrm>
        <a:prstGeom prst="rect">
          <a:avLst/>
        </a:prstGeom>
      </xdr:spPr>
    </xdr:pic>
    <xdr:clientData/>
  </xdr:twoCellAnchor>
  <xdr:twoCellAnchor editAs="oneCell">
    <xdr:from>
      <xdr:col>2</xdr:col>
      <xdr:colOff>678655</xdr:colOff>
      <xdr:row>137</xdr:row>
      <xdr:rowOff>142875</xdr:rowOff>
    </xdr:from>
    <xdr:to>
      <xdr:col>9</xdr:col>
      <xdr:colOff>428625</xdr:colOff>
      <xdr:row>157</xdr:row>
      <xdr:rowOff>142875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2166" t="43026" r="32934" b="27803"/>
        <a:stretch/>
      </xdr:blipFill>
      <xdr:spPr>
        <a:xfrm>
          <a:off x="3345655" y="26955750"/>
          <a:ext cx="6381751" cy="3333750"/>
        </a:xfrm>
        <a:prstGeom prst="rect">
          <a:avLst/>
        </a:prstGeom>
      </xdr:spPr>
    </xdr:pic>
    <xdr:clientData/>
  </xdr:twoCellAnchor>
  <xdr:twoCellAnchor editAs="oneCell">
    <xdr:from>
      <xdr:col>9</xdr:col>
      <xdr:colOff>583407</xdr:colOff>
      <xdr:row>138</xdr:row>
      <xdr:rowOff>11905</xdr:rowOff>
    </xdr:from>
    <xdr:to>
      <xdr:col>13</xdr:col>
      <xdr:colOff>239816</xdr:colOff>
      <xdr:row>151</xdr:row>
      <xdr:rowOff>119061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2388" t="44381" r="41920" b="38742"/>
        <a:stretch/>
      </xdr:blipFill>
      <xdr:spPr>
        <a:xfrm>
          <a:off x="9882188" y="26991468"/>
          <a:ext cx="3383066" cy="227409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191</xdr:row>
      <xdr:rowOff>0</xdr:rowOff>
    </xdr:from>
    <xdr:to>
      <xdr:col>7</xdr:col>
      <xdr:colOff>95250</xdr:colOff>
      <xdr:row>211</xdr:row>
      <xdr:rowOff>84455</xdr:rowOff>
    </xdr:to>
    <xdr:pic>
      <xdr:nvPicPr>
        <xdr:cNvPr id="7" name="Picture 6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76525" y="35633025"/>
          <a:ext cx="5076825" cy="3322955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228</xdr:row>
      <xdr:rowOff>152400</xdr:rowOff>
    </xdr:from>
    <xdr:to>
      <xdr:col>2</xdr:col>
      <xdr:colOff>533400</xdr:colOff>
      <xdr:row>230</xdr:row>
      <xdr:rowOff>47625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42195750"/>
          <a:ext cx="495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28575</xdr:colOff>
      <xdr:row>231</xdr:row>
      <xdr:rowOff>0</xdr:rowOff>
    </xdr:from>
    <xdr:to>
      <xdr:col>2</xdr:col>
      <xdr:colOff>685800</xdr:colOff>
      <xdr:row>232</xdr:row>
      <xdr:rowOff>104775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42614850"/>
          <a:ext cx="65722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7"/>
  <sheetViews>
    <sheetView tabSelected="1" zoomScaleNormal="100" workbookViewId="0">
      <selection activeCell="J85" sqref="J85"/>
    </sheetView>
  </sheetViews>
  <sheetFormatPr defaultColWidth="8.85546875" defaultRowHeight="12.75" x14ac:dyDescent="0.2"/>
  <cols>
    <col min="1" max="1" width="28" customWidth="1"/>
    <col min="2" max="2" width="14.7109375" customWidth="1"/>
    <col min="3" max="3" width="18.28515625" customWidth="1"/>
    <col min="4" max="4" width="15" customWidth="1"/>
    <col min="5" max="5" width="16.85546875" customWidth="1"/>
    <col min="6" max="6" width="12.5703125" customWidth="1"/>
    <col min="7" max="7" width="12" customWidth="1"/>
    <col min="8" max="9" width="12.42578125" customWidth="1"/>
    <col min="10" max="10" width="12.5703125" customWidth="1"/>
    <col min="11" max="11" width="13.42578125" customWidth="1"/>
    <col min="12" max="12" width="15.5703125" customWidth="1"/>
    <col min="13" max="13" width="14.42578125" customWidth="1"/>
    <col min="14" max="14" width="13.5703125" customWidth="1"/>
  </cols>
  <sheetData>
    <row r="1" spans="1:8" x14ac:dyDescent="0.2">
      <c r="A1" s="1" t="s">
        <v>62</v>
      </c>
      <c r="B1" s="6"/>
      <c r="C1" s="6"/>
      <c r="D1" s="6"/>
      <c r="E1" s="6"/>
      <c r="F1" s="6"/>
      <c r="G1" s="6"/>
      <c r="H1" s="6"/>
    </row>
    <row r="2" spans="1:8" s="6" customFormat="1" x14ac:dyDescent="0.2">
      <c r="A2" s="6" t="s">
        <v>61</v>
      </c>
      <c r="B2" t="s">
        <v>42</v>
      </c>
    </row>
    <row r="4" spans="1:8" x14ac:dyDescent="0.2">
      <c r="A4" s="1" t="s">
        <v>7</v>
      </c>
      <c r="C4" s="1"/>
    </row>
    <row r="5" spans="1:8" s="18" customFormat="1" ht="25.5" x14ac:dyDescent="0.2">
      <c r="A5" s="20" t="s">
        <v>12</v>
      </c>
      <c r="B5" s="20" t="s">
        <v>9</v>
      </c>
      <c r="C5" s="20"/>
      <c r="D5" s="20"/>
      <c r="E5" s="20" t="s">
        <v>10</v>
      </c>
      <c r="F5" s="20" t="s">
        <v>55</v>
      </c>
    </row>
    <row r="6" spans="1:8" x14ac:dyDescent="0.2">
      <c r="A6" s="2">
        <v>0</v>
      </c>
      <c r="B6" t="s">
        <v>1</v>
      </c>
      <c r="E6">
        <v>0.15</v>
      </c>
      <c r="F6">
        <v>40</v>
      </c>
    </row>
    <row r="7" spans="1:8" x14ac:dyDescent="0.2">
      <c r="A7" s="2">
        <v>0</v>
      </c>
      <c r="B7" t="s">
        <v>0</v>
      </c>
      <c r="E7">
        <v>0.3</v>
      </c>
      <c r="F7">
        <v>48</v>
      </c>
    </row>
    <row r="8" spans="1:8" x14ac:dyDescent="0.2">
      <c r="A8" s="2">
        <v>0</v>
      </c>
      <c r="B8" t="s">
        <v>2</v>
      </c>
      <c r="E8">
        <v>0.5</v>
      </c>
      <c r="F8">
        <v>50</v>
      </c>
    </row>
    <row r="9" spans="1:8" x14ac:dyDescent="0.2">
      <c r="A9" s="2">
        <v>0.5</v>
      </c>
      <c r="B9" t="s">
        <v>3</v>
      </c>
      <c r="E9">
        <v>0.8</v>
      </c>
      <c r="F9">
        <v>43</v>
      </c>
    </row>
    <row r="10" spans="1:8" x14ac:dyDescent="0.2">
      <c r="A10" s="2">
        <v>0</v>
      </c>
      <c r="B10" t="s">
        <v>4</v>
      </c>
      <c r="E10">
        <v>0.6</v>
      </c>
      <c r="F10">
        <v>77</v>
      </c>
    </row>
    <row r="11" spans="1:8" x14ac:dyDescent="0.2">
      <c r="A11" s="2">
        <v>0</v>
      </c>
      <c r="B11" s="16" t="s">
        <v>51</v>
      </c>
      <c r="E11">
        <v>0.9</v>
      </c>
      <c r="F11">
        <v>100</v>
      </c>
    </row>
    <row r="12" spans="1:8" x14ac:dyDescent="0.2">
      <c r="A12" s="2">
        <v>0</v>
      </c>
      <c r="B12" t="s">
        <v>46</v>
      </c>
      <c r="E12">
        <v>0.95</v>
      </c>
      <c r="F12">
        <v>10</v>
      </c>
    </row>
    <row r="13" spans="1:8" x14ac:dyDescent="0.2">
      <c r="A13" s="2">
        <v>0</v>
      </c>
      <c r="B13" t="s">
        <v>8</v>
      </c>
      <c r="E13">
        <v>0.85</v>
      </c>
      <c r="F13">
        <v>10</v>
      </c>
    </row>
    <row r="14" spans="1:8" x14ac:dyDescent="0.2">
      <c r="A14" s="2">
        <v>0</v>
      </c>
      <c r="B14" t="s">
        <v>5</v>
      </c>
      <c r="E14">
        <v>0.75</v>
      </c>
      <c r="F14">
        <v>50</v>
      </c>
    </row>
    <row r="15" spans="1:8" x14ac:dyDescent="0.2">
      <c r="A15" s="2">
        <v>0</v>
      </c>
      <c r="B15" t="s">
        <v>6</v>
      </c>
      <c r="E15">
        <v>0.75</v>
      </c>
      <c r="F15">
        <v>500</v>
      </c>
    </row>
    <row r="16" spans="1:8" x14ac:dyDescent="0.2">
      <c r="A16" s="2">
        <v>0</v>
      </c>
      <c r="B16" t="s">
        <v>43</v>
      </c>
      <c r="E16">
        <v>0.1</v>
      </c>
      <c r="F16">
        <v>50</v>
      </c>
    </row>
    <row r="17" spans="1:9" x14ac:dyDescent="0.2">
      <c r="A17" s="2">
        <v>0</v>
      </c>
      <c r="B17" t="s">
        <v>44</v>
      </c>
      <c r="E17">
        <v>0.15</v>
      </c>
      <c r="F17">
        <v>150</v>
      </c>
    </row>
    <row r="18" spans="1:9" x14ac:dyDescent="0.2">
      <c r="A18" s="2">
        <v>0</v>
      </c>
      <c r="B18" t="s">
        <v>45</v>
      </c>
      <c r="E18">
        <v>0.25</v>
      </c>
      <c r="F18">
        <v>250</v>
      </c>
    </row>
    <row r="19" spans="1:9" x14ac:dyDescent="0.2">
      <c r="A19" s="1">
        <f>SUM(A6:A18)</f>
        <v>0.5</v>
      </c>
      <c r="B19" s="1"/>
      <c r="C19" s="1" t="s">
        <v>11</v>
      </c>
      <c r="D19" s="1"/>
      <c r="E19" s="1">
        <f>E6*(A6/A19)+E7*(A7/A19)+E8*(A8/A19)+E9*(A9/A19)+E10*(A10/A19)+E11*(A11/A19)+E12*(A12/A19)+E13*(A13/A19)+E14*(A14/A19)+E15*(A15/A19)+E16*(A16/A19)+E17*(A17/A19)+E18*(A18/A19)</f>
        <v>0.8</v>
      </c>
      <c r="F19" s="7">
        <f>F6*(A6/A19)+F7*(A7/A19)+F8*(A8/A19)+F9*(A9/A19)+F10*(A10/A19)+F11*(A11/A19)+F12*(A12/A19)+F13*(A13/A19)+F14*(A14/A19)+F15*(A15/A19)+F16*(A16/A19)+F17*(A17/A19)+F18*(A18/A19)</f>
        <v>43</v>
      </c>
    </row>
    <row r="21" spans="1:9" x14ac:dyDescent="0.2">
      <c r="A21" s="1" t="s">
        <v>13</v>
      </c>
      <c r="C21" s="15">
        <v>1170</v>
      </c>
      <c r="E21" s="1" t="s">
        <v>15</v>
      </c>
      <c r="G21" s="12">
        <f>C21/25.4</f>
        <v>46.062992125984252</v>
      </c>
    </row>
    <row r="22" spans="1:9" x14ac:dyDescent="0.2">
      <c r="A22" s="1" t="s">
        <v>14</v>
      </c>
      <c r="B22" s="1"/>
      <c r="C22" s="14">
        <f>E19*C21*A19*10</f>
        <v>4680</v>
      </c>
      <c r="E22" s="1" t="s">
        <v>16</v>
      </c>
      <c r="G22" s="14">
        <f>C22*3.302*3.302*3.302</f>
        <v>168491.13656544001</v>
      </c>
    </row>
    <row r="23" spans="1:9" x14ac:dyDescent="0.2">
      <c r="A23" s="1" t="s">
        <v>56</v>
      </c>
      <c r="B23" s="1"/>
      <c r="C23">
        <f>C22*F19*0.001</f>
        <v>201.24</v>
      </c>
      <c r="E23" s="1" t="s">
        <v>17</v>
      </c>
      <c r="G23" s="14">
        <f>C23*1.563</f>
        <v>314.53811999999999</v>
      </c>
    </row>
    <row r="24" spans="1:9" x14ac:dyDescent="0.2">
      <c r="E24" s="1" t="s">
        <v>18</v>
      </c>
      <c r="G24" s="10">
        <f>A19*2.503</f>
        <v>1.2515000000000001</v>
      </c>
    </row>
    <row r="26" spans="1:9" x14ac:dyDescent="0.2">
      <c r="A26" s="1" t="s">
        <v>57</v>
      </c>
    </row>
    <row r="27" spans="1:9" x14ac:dyDescent="0.2">
      <c r="A27" s="55" t="s">
        <v>171</v>
      </c>
      <c r="B27" s="2">
        <v>138</v>
      </c>
      <c r="C27" s="54" t="s">
        <v>47</v>
      </c>
      <c r="D27" s="28">
        <f>0.01*B27/A19</f>
        <v>2.7600000000000002</v>
      </c>
      <c r="E27" s="1" t="s">
        <v>30</v>
      </c>
      <c r="F27" s="1"/>
      <c r="H27" s="14">
        <f>0.5*100*100*B29*B28*B27</f>
        <v>43125000</v>
      </c>
    </row>
    <row r="28" spans="1:9" x14ac:dyDescent="0.2">
      <c r="A28" t="s">
        <v>26</v>
      </c>
      <c r="B28" s="2">
        <v>25</v>
      </c>
    </row>
    <row r="29" spans="1:9" x14ac:dyDescent="0.2">
      <c r="A29" t="s">
        <v>29</v>
      </c>
      <c r="B29" s="3">
        <v>2.5</v>
      </c>
      <c r="D29" t="s">
        <v>33</v>
      </c>
    </row>
    <row r="30" spans="1:9" x14ac:dyDescent="0.2">
      <c r="A30" t="s">
        <v>19</v>
      </c>
      <c r="B30" s="2">
        <v>100</v>
      </c>
      <c r="C30" s="6"/>
      <c r="D30" s="10">
        <f>B30/23</f>
        <v>4.3478260869565215</v>
      </c>
      <c r="E30" s="1" t="s">
        <v>58</v>
      </c>
      <c r="F30" s="9">
        <f>D30/SQRT((D31+D32)/2)</f>
        <v>0.45027348810291851</v>
      </c>
      <c r="G30" s="32" t="s">
        <v>34</v>
      </c>
      <c r="H30" s="32"/>
      <c r="I30" s="32"/>
    </row>
    <row r="31" spans="1:9" x14ac:dyDescent="0.2">
      <c r="A31" t="s">
        <v>20</v>
      </c>
      <c r="B31" s="2">
        <v>2500</v>
      </c>
      <c r="D31" s="10">
        <f>B31/20</f>
        <v>125</v>
      </c>
      <c r="G31" s="32"/>
      <c r="H31" s="32"/>
      <c r="I31" s="32"/>
    </row>
    <row r="32" spans="1:9" x14ac:dyDescent="0.2">
      <c r="A32" t="s">
        <v>21</v>
      </c>
      <c r="B32" s="2">
        <v>750</v>
      </c>
      <c r="D32" s="10">
        <f>B32/12.2</f>
        <v>61.47540983606558</v>
      </c>
      <c r="G32" s="32"/>
      <c r="H32" s="32"/>
      <c r="I32" s="32"/>
    </row>
    <row r="33" spans="1:9" x14ac:dyDescent="0.2">
      <c r="A33" t="s">
        <v>39</v>
      </c>
      <c r="B33" s="2">
        <v>25</v>
      </c>
      <c r="G33" s="4"/>
      <c r="H33" s="4"/>
      <c r="I33" s="4"/>
    </row>
    <row r="34" spans="1:9" x14ac:dyDescent="0.2">
      <c r="B34" s="5"/>
      <c r="G34" s="4"/>
      <c r="H34" s="4"/>
      <c r="I34" s="4"/>
    </row>
    <row r="35" spans="1:9" x14ac:dyDescent="0.2">
      <c r="A35" s="1" t="s">
        <v>36</v>
      </c>
      <c r="B35" s="8">
        <f>C22/B27</f>
        <v>33.913043478260867</v>
      </c>
      <c r="C35" t="s">
        <v>37</v>
      </c>
      <c r="D35" s="9">
        <f>B35/365</f>
        <v>9.2912447885646218E-2</v>
      </c>
      <c r="E35" t="s">
        <v>40</v>
      </c>
      <c r="G35" s="4"/>
      <c r="H35" s="4"/>
      <c r="I35" s="4"/>
    </row>
    <row r="36" spans="1:9" x14ac:dyDescent="0.2">
      <c r="B36" s="8">
        <f>C23/B27</f>
        <v>1.4582608695652175</v>
      </c>
      <c r="C36" t="s">
        <v>38</v>
      </c>
      <c r="E36" s="1" t="s">
        <v>41</v>
      </c>
      <c r="G36" s="4"/>
      <c r="H36" s="11">
        <f>B33/B36</f>
        <v>17.14370900417412</v>
      </c>
      <c r="I36" s="17" t="s">
        <v>52</v>
      </c>
    </row>
    <row r="37" spans="1:9" x14ac:dyDescent="0.2">
      <c r="H37" s="6" t="s">
        <v>59</v>
      </c>
    </row>
    <row r="38" spans="1:9" x14ac:dyDescent="0.2">
      <c r="H38" s="6" t="s">
        <v>53</v>
      </c>
    </row>
    <row r="39" spans="1:9" x14ac:dyDescent="0.2">
      <c r="A39" s="1" t="s">
        <v>22</v>
      </c>
      <c r="B39" s="1"/>
      <c r="C39" t="s">
        <v>27</v>
      </c>
    </row>
    <row r="40" spans="1:9" x14ac:dyDescent="0.2">
      <c r="A40" s="6" t="s">
        <v>54</v>
      </c>
      <c r="B40" s="2">
        <v>10</v>
      </c>
      <c r="C40" s="10">
        <f>B40/23</f>
        <v>0.43478260869565216</v>
      </c>
      <c r="E40" s="1" t="s">
        <v>31</v>
      </c>
      <c r="F40" s="1"/>
      <c r="G40" s="14">
        <f>C44*C22*1000</f>
        <v>5937223.8899836494</v>
      </c>
    </row>
    <row r="41" spans="1:9" x14ac:dyDescent="0.2">
      <c r="A41" t="s">
        <v>23</v>
      </c>
      <c r="B41" s="2">
        <v>10.5</v>
      </c>
      <c r="C41" s="10">
        <f>B41/20</f>
        <v>0.52500000000000002</v>
      </c>
      <c r="E41" s="1" t="s">
        <v>32</v>
      </c>
      <c r="F41" s="1"/>
      <c r="G41" s="9">
        <f>H27/G40</f>
        <v>7.2634956671844089</v>
      </c>
      <c r="H41" s="6" t="s">
        <v>50</v>
      </c>
      <c r="I41" s="5"/>
    </row>
    <row r="42" spans="1:9" x14ac:dyDescent="0.2">
      <c r="A42" t="s">
        <v>24</v>
      </c>
      <c r="B42" s="2">
        <v>3.3</v>
      </c>
      <c r="C42" s="10">
        <f>B42/12.2</f>
        <v>0.27049180327868855</v>
      </c>
    </row>
    <row r="43" spans="1:9" x14ac:dyDescent="0.2">
      <c r="A43" t="s">
        <v>25</v>
      </c>
      <c r="B43" s="2">
        <v>1.5</v>
      </c>
      <c r="C43" s="10">
        <f>B43/39.1</f>
        <v>3.8363171355498722E-2</v>
      </c>
      <c r="E43" s="1" t="s">
        <v>35</v>
      </c>
      <c r="F43" s="9">
        <f>C40/SQRT((C41*C42)/2)</f>
        <v>1.6316629625577166</v>
      </c>
    </row>
    <row r="44" spans="1:9" x14ac:dyDescent="0.2">
      <c r="B44" t="s">
        <v>28</v>
      </c>
      <c r="C44" s="10">
        <f>SUM(C40:C43)</f>
        <v>1.2686375833298396</v>
      </c>
    </row>
    <row r="45" spans="1:9" x14ac:dyDescent="0.2">
      <c r="E45" s="1" t="s">
        <v>48</v>
      </c>
      <c r="H45" s="13">
        <f>F43/F30</f>
        <v>3.6237153766973935</v>
      </c>
      <c r="I45" t="s">
        <v>49</v>
      </c>
    </row>
    <row r="46" spans="1:9" x14ac:dyDescent="0.2">
      <c r="H46" s="6" t="s">
        <v>60</v>
      </c>
    </row>
    <row r="48" spans="1:9" x14ac:dyDescent="0.2">
      <c r="A48" s="1" t="s">
        <v>71</v>
      </c>
      <c r="B48" s="1"/>
    </row>
    <row r="49" spans="1:13" x14ac:dyDescent="0.2">
      <c r="A49" s="6" t="s">
        <v>63</v>
      </c>
    </row>
    <row r="50" spans="1:13" s="19" customFormat="1" ht="25.5" x14ac:dyDescent="0.2">
      <c r="B50" s="17" t="s">
        <v>72</v>
      </c>
      <c r="C50" s="17" t="s">
        <v>75</v>
      </c>
      <c r="D50" s="17" t="s">
        <v>65</v>
      </c>
      <c r="E50" s="17" t="s">
        <v>70</v>
      </c>
      <c r="F50" s="17" t="s">
        <v>73</v>
      </c>
      <c r="G50" s="17" t="s">
        <v>74</v>
      </c>
      <c r="H50" s="17" t="s">
        <v>79</v>
      </c>
      <c r="I50" s="17" t="s">
        <v>78</v>
      </c>
      <c r="J50" s="17" t="s">
        <v>76</v>
      </c>
      <c r="K50" s="17" t="s">
        <v>80</v>
      </c>
      <c r="L50" s="17" t="s">
        <v>77</v>
      </c>
      <c r="M50" s="17" t="s">
        <v>81</v>
      </c>
    </row>
    <row r="51" spans="1:13" x14ac:dyDescent="0.2">
      <c r="B51" t="s">
        <v>66</v>
      </c>
      <c r="C51" s="22">
        <v>1000</v>
      </c>
      <c r="D51" s="22">
        <v>15</v>
      </c>
      <c r="E51" s="30">
        <f xml:space="preserve">  -0.00000172378*(C51)*(C51)+ 0.0040969*(D51)*(D51)+ 0.00469226*(C51)- 0.161734*(D51)</f>
        <v>1.4642724999999999</v>
      </c>
      <c r="F51" s="12">
        <f>POWER(10,E51)</f>
        <v>29.125440335328058</v>
      </c>
      <c r="G51" s="24">
        <f>F51/2.54</f>
        <v>11.466708793436243</v>
      </c>
      <c r="H51" s="22">
        <v>1.5</v>
      </c>
      <c r="I51" s="12">
        <f>39.37*H51</f>
        <v>59.054999999999993</v>
      </c>
      <c r="J51" s="22">
        <v>0.45</v>
      </c>
      <c r="K51" s="12">
        <f>I51*J51</f>
        <v>26.574749999999998</v>
      </c>
      <c r="L51" s="42">
        <f>60*K51/G51</f>
        <v>139.05341355775187</v>
      </c>
      <c r="M51" s="26">
        <f>L51/60</f>
        <v>2.3175568926291978</v>
      </c>
    </row>
    <row r="52" spans="1:13" x14ac:dyDescent="0.2">
      <c r="B52" t="s">
        <v>67</v>
      </c>
      <c r="C52" s="16"/>
      <c r="D52" s="5"/>
      <c r="E52" s="30">
        <f xml:space="preserve">  -0.00000129188*(C51)*(C51)+ 0.00356202*(D51)*(D51)+ 0.00407119*(C51)- 0.174961*(D51)</f>
        <v>0.95634949999999996</v>
      </c>
      <c r="F52" s="12">
        <f>POWER(10,E52)</f>
        <v>9.0437698148295933</v>
      </c>
      <c r="G52" s="24">
        <f>F52/2.54</f>
        <v>3.5605392971770051</v>
      </c>
      <c r="I52" s="12"/>
      <c r="K52" s="12"/>
      <c r="L52" s="42">
        <f>60*K51/G52</f>
        <v>447.82120541800981</v>
      </c>
      <c r="M52" s="26">
        <f t="shared" ref="M52:M59" si="0">L52/60</f>
        <v>7.4636867569668306</v>
      </c>
    </row>
    <row r="53" spans="1:13" x14ac:dyDescent="0.2">
      <c r="B53" t="s">
        <v>68</v>
      </c>
      <c r="C53" s="5"/>
      <c r="D53" s="5"/>
      <c r="E53" s="10">
        <f xml:space="preserve">  0.00161573*C51 - 0.0589628*D51</f>
        <v>0.73128799999999983</v>
      </c>
      <c r="F53" s="12">
        <f>POWER(10,E53)</f>
        <v>5.3862685154682843</v>
      </c>
      <c r="G53" s="24">
        <f>F53/2.54</f>
        <v>2.1205781556961747</v>
      </c>
      <c r="I53" s="12"/>
      <c r="K53" s="12"/>
      <c r="L53" s="42">
        <f>60*K51/G52</f>
        <v>447.82120541800981</v>
      </c>
      <c r="M53" s="26">
        <f t="shared" si="0"/>
        <v>7.4636867569668306</v>
      </c>
    </row>
    <row r="54" spans="1:13" x14ac:dyDescent="0.2">
      <c r="E54" s="10"/>
      <c r="F54" s="12"/>
      <c r="G54" s="12"/>
      <c r="I54" s="12"/>
      <c r="K54" s="12"/>
      <c r="L54" s="42"/>
      <c r="M54" s="26"/>
    </row>
    <row r="55" spans="1:13" x14ac:dyDescent="0.2">
      <c r="A55" s="6" t="s">
        <v>64</v>
      </c>
      <c r="E55" s="10"/>
      <c r="F55" s="12"/>
      <c r="G55" s="12"/>
      <c r="I55" s="12"/>
      <c r="K55" s="12"/>
      <c r="L55" s="42"/>
      <c r="M55" s="26"/>
    </row>
    <row r="56" spans="1:13" x14ac:dyDescent="0.2">
      <c r="B56" s="6" t="s">
        <v>72</v>
      </c>
      <c r="C56" s="16"/>
      <c r="D56" s="16"/>
      <c r="E56" s="23" t="s">
        <v>69</v>
      </c>
      <c r="F56" s="25" t="s">
        <v>73</v>
      </c>
      <c r="G56" s="25" t="s">
        <v>74</v>
      </c>
      <c r="I56" s="12"/>
      <c r="K56" s="12"/>
      <c r="L56" s="42"/>
      <c r="M56" s="26"/>
    </row>
    <row r="57" spans="1:13" x14ac:dyDescent="0.2">
      <c r="A57" s="16"/>
      <c r="B57" t="s">
        <v>66</v>
      </c>
      <c r="C57" s="5"/>
      <c r="E57" s="10">
        <f xml:space="preserve">  1.83529 + 0.000522149*(C51) - 0.0647993*(D51)</f>
        <v>1.3854495000000002</v>
      </c>
      <c r="F57" s="12">
        <f>POWER(10,E57)</f>
        <v>24.291229658498246</v>
      </c>
      <c r="G57" s="24">
        <f>F57/2.54</f>
        <v>9.5634762435032457</v>
      </c>
      <c r="I57" s="12"/>
      <c r="K57" s="12"/>
      <c r="L57" s="42">
        <f>60*K51/G57</f>
        <v>166.72650816518535</v>
      </c>
      <c r="M57" s="26">
        <f t="shared" si="0"/>
        <v>2.7787751360864226</v>
      </c>
    </row>
    <row r="58" spans="1:13" x14ac:dyDescent="0.2">
      <c r="A58" s="16"/>
      <c r="B58" t="s">
        <v>67</v>
      </c>
      <c r="C58" s="5"/>
      <c r="E58" s="10">
        <f xml:space="preserve">  1.30875 + 0.000682833*(C51) - 0.0593612*(D51)</f>
        <v>1.1011649999999999</v>
      </c>
      <c r="F58" s="12">
        <f>POWER(10,E58)</f>
        <v>12.623070274406608</v>
      </c>
      <c r="G58" s="24">
        <f>F58/2.54</f>
        <v>4.9697127064592941</v>
      </c>
      <c r="I58" s="12"/>
      <c r="K58" s="12"/>
      <c r="L58" s="42">
        <f>60*K51/G58</f>
        <v>320.84047794706458</v>
      </c>
      <c r="M58" s="26">
        <f t="shared" si="0"/>
        <v>5.3473412991177431</v>
      </c>
    </row>
    <row r="59" spans="1:13" x14ac:dyDescent="0.2">
      <c r="A59" s="16"/>
      <c r="B59" t="s">
        <v>68</v>
      </c>
      <c r="C59" s="5"/>
      <c r="E59" s="10">
        <f xml:space="preserve">  1.28385 + 0.000640163*(C51) - 0.0699013*(D51)</f>
        <v>0.87549349999999992</v>
      </c>
      <c r="F59" s="12">
        <f>POWER(10,E59)</f>
        <v>7.5074681775604848</v>
      </c>
      <c r="G59" s="24">
        <f>F59/2.54</f>
        <v>2.9556961328978284</v>
      </c>
      <c r="I59" s="12"/>
      <c r="K59" s="12"/>
      <c r="L59" s="42">
        <f>60*K51/G59</f>
        <v>539.46174718465807</v>
      </c>
      <c r="M59" s="26">
        <f t="shared" si="0"/>
        <v>8.9910291197443009</v>
      </c>
    </row>
    <row r="62" spans="1:13" ht="25.5" x14ac:dyDescent="0.2">
      <c r="A62" s="1" t="s">
        <v>82</v>
      </c>
      <c r="C62" s="17" t="s">
        <v>88</v>
      </c>
      <c r="D62" s="17" t="s">
        <v>83</v>
      </c>
      <c r="E62" s="17" t="s">
        <v>84</v>
      </c>
      <c r="G62" s="33" t="s">
        <v>91</v>
      </c>
    </row>
    <row r="63" spans="1:13" x14ac:dyDescent="0.2">
      <c r="C63" s="22">
        <v>25</v>
      </c>
      <c r="D63" s="30">
        <f>C63/25.4</f>
        <v>0.98425196850393704</v>
      </c>
      <c r="E63" s="10">
        <f>A19*E19*D63</f>
        <v>0.39370078740157483</v>
      </c>
      <c r="G63" s="6" t="s">
        <v>92</v>
      </c>
    </row>
    <row r="66" spans="1:6" s="19" customFormat="1" ht="38.25" x14ac:dyDescent="0.2">
      <c r="B66" s="19" t="s">
        <v>63</v>
      </c>
      <c r="C66" s="17" t="s">
        <v>72</v>
      </c>
      <c r="D66" s="17" t="s">
        <v>85</v>
      </c>
      <c r="E66" s="31" t="s">
        <v>89</v>
      </c>
      <c r="F66" s="17" t="s">
        <v>87</v>
      </c>
    </row>
    <row r="67" spans="1:6" x14ac:dyDescent="0.2">
      <c r="C67" t="s">
        <v>66</v>
      </c>
      <c r="D67" s="29">
        <f>E63*12*3600/G51</f>
        <v>1483.2393777614423</v>
      </c>
      <c r="E67" s="27">
        <f>D67/10.76</f>
        <v>137.84752581426042</v>
      </c>
      <c r="F67" s="28">
        <f>100*(E67)/(A19*10000)</f>
        <v>2.7569505162852086</v>
      </c>
    </row>
    <row r="68" spans="1:6" x14ac:dyDescent="0.2">
      <c r="C68" t="s">
        <v>67</v>
      </c>
      <c r="D68" s="29">
        <f>E63*12*3600/G52</f>
        <v>4776.769077996928</v>
      </c>
      <c r="E68" s="27">
        <f t="shared" ref="E68:E74" si="1">D68/10.76</f>
        <v>443.93764665398959</v>
      </c>
      <c r="F68" s="28">
        <f>100*(E68)/(A19*10000)</f>
        <v>8.8787529330797916</v>
      </c>
    </row>
    <row r="69" spans="1:6" x14ac:dyDescent="0.2">
      <c r="C69" t="s">
        <v>68</v>
      </c>
      <c r="D69" s="29">
        <f>E63*12*3600/G53</f>
        <v>8020.3948013245645</v>
      </c>
      <c r="E69" s="27">
        <f t="shared" si="1"/>
        <v>745.38985142421609</v>
      </c>
      <c r="F69" s="28">
        <f>100*(E69)/(A19*10000)</f>
        <v>14.907797028484321</v>
      </c>
    </row>
    <row r="70" spans="1:6" x14ac:dyDescent="0.2">
      <c r="D70" s="29"/>
      <c r="E70" s="29"/>
      <c r="F70" s="28"/>
    </row>
    <row r="71" spans="1:6" ht="38.25" x14ac:dyDescent="0.2">
      <c r="B71" s="19" t="s">
        <v>64</v>
      </c>
      <c r="C71" s="6" t="s">
        <v>72</v>
      </c>
      <c r="D71" s="17" t="s">
        <v>85</v>
      </c>
      <c r="E71" s="17" t="s">
        <v>86</v>
      </c>
      <c r="F71" s="17" t="s">
        <v>87</v>
      </c>
    </row>
    <row r="72" spans="1:6" x14ac:dyDescent="0.2">
      <c r="C72" t="s">
        <v>66</v>
      </c>
      <c r="D72" s="29">
        <f>E63*12*3600/G57</f>
        <v>1778.4196439345983</v>
      </c>
      <c r="E72" s="27">
        <f t="shared" si="1"/>
        <v>165.28063605340134</v>
      </c>
      <c r="F72" s="28">
        <f>100*(E72)/(A19*10000)</f>
        <v>3.3056127210680266</v>
      </c>
    </row>
    <row r="73" spans="1:6" x14ac:dyDescent="0.2">
      <c r="C73" t="s">
        <v>67</v>
      </c>
      <c r="D73" s="29">
        <f>E63*12*3600/G58</f>
        <v>3422.3052760459082</v>
      </c>
      <c r="E73" s="27">
        <f t="shared" si="1"/>
        <v>318.05811115668291</v>
      </c>
      <c r="F73" s="28">
        <f>100*(E73)/(A19*10000)</f>
        <v>6.3611622231336575</v>
      </c>
    </row>
    <row r="74" spans="1:6" x14ac:dyDescent="0.2">
      <c r="C74" t="s">
        <v>68</v>
      </c>
      <c r="D74" s="29">
        <f>E63*12*3600/G59</f>
        <v>5754.2701451766434</v>
      </c>
      <c r="E74" s="27">
        <f t="shared" si="1"/>
        <v>534.78347074132375</v>
      </c>
      <c r="F74" s="28">
        <f>100*(E74)/(A19*10000)</f>
        <v>10.695669414826476</v>
      </c>
    </row>
    <row r="77" spans="1:6" x14ac:dyDescent="0.2">
      <c r="A77" s="1" t="s">
        <v>90</v>
      </c>
      <c r="B77" s="6" t="s">
        <v>172</v>
      </c>
    </row>
    <row r="78" spans="1:6" x14ac:dyDescent="0.2">
      <c r="A78" s="1"/>
      <c r="B78" s="6" t="s">
        <v>173</v>
      </c>
    </row>
    <row r="79" spans="1:6" x14ac:dyDescent="0.2">
      <c r="A79" s="1"/>
      <c r="B79" s="6"/>
    </row>
    <row r="80" spans="1:6" x14ac:dyDescent="0.2">
      <c r="B80" s="6" t="s">
        <v>104</v>
      </c>
    </row>
    <row r="82" spans="3:3" x14ac:dyDescent="0.2">
      <c r="C82" s="6" t="s">
        <v>105</v>
      </c>
    </row>
    <row r="90" spans="3:3" s="21" customFormat="1" x14ac:dyDescent="0.2"/>
    <row r="98" spans="3:10" x14ac:dyDescent="0.2">
      <c r="C98" s="6" t="s">
        <v>113</v>
      </c>
    </row>
    <row r="99" spans="3:10" x14ac:dyDescent="0.2">
      <c r="C99" s="6"/>
    </row>
    <row r="100" spans="3:10" x14ac:dyDescent="0.2">
      <c r="C100" s="6"/>
      <c r="D100" s="6" t="s">
        <v>107</v>
      </c>
      <c r="E100" s="22">
        <v>0.45</v>
      </c>
    </row>
    <row r="101" spans="3:10" x14ac:dyDescent="0.2">
      <c r="C101" s="6"/>
      <c r="D101" s="6" t="s">
        <v>111</v>
      </c>
      <c r="E101" s="22">
        <v>24</v>
      </c>
      <c r="F101" s="6" t="s">
        <v>110</v>
      </c>
    </row>
    <row r="102" spans="3:10" ht="38.25" x14ac:dyDescent="0.2">
      <c r="C102" s="6"/>
      <c r="D102" s="17" t="s">
        <v>115</v>
      </c>
      <c r="E102" s="22">
        <v>5</v>
      </c>
      <c r="F102" s="6" t="s">
        <v>101</v>
      </c>
    </row>
    <row r="103" spans="3:10" ht="51" x14ac:dyDescent="0.2">
      <c r="C103" s="6"/>
      <c r="D103" s="17" t="s">
        <v>116</v>
      </c>
      <c r="E103" s="22">
        <v>24</v>
      </c>
      <c r="F103" s="6" t="s">
        <v>101</v>
      </c>
    </row>
    <row r="105" spans="3:10" s="21" customFormat="1" ht="38.25" x14ac:dyDescent="0.2">
      <c r="F105" s="21" t="s">
        <v>85</v>
      </c>
      <c r="G105" s="17" t="s">
        <v>106</v>
      </c>
      <c r="H105" s="17" t="s">
        <v>108</v>
      </c>
      <c r="I105" s="17" t="s">
        <v>109</v>
      </c>
      <c r="J105" s="17" t="s">
        <v>112</v>
      </c>
    </row>
    <row r="106" spans="3:10" x14ac:dyDescent="0.2">
      <c r="D106" t="s">
        <v>63</v>
      </c>
      <c r="E106" t="s">
        <v>72</v>
      </c>
      <c r="F106" s="14"/>
    </row>
    <row r="107" spans="3:10" x14ac:dyDescent="0.2">
      <c r="E107" t="s">
        <v>66</v>
      </c>
      <c r="F107" s="14">
        <f>D67</f>
        <v>1483.2393777614423</v>
      </c>
      <c r="G107" s="14">
        <f>F107*E102/12</f>
        <v>618.016407400601</v>
      </c>
      <c r="H107" s="14">
        <f>E100*F107*E103/12</f>
        <v>1334.915439985298</v>
      </c>
      <c r="I107" s="14">
        <f>G107+H107</f>
        <v>1952.9318473858989</v>
      </c>
      <c r="J107" s="40">
        <f>I107/(E101*3600)</f>
        <v>2.2603377863262719E-2</v>
      </c>
    </row>
    <row r="108" spans="3:10" x14ac:dyDescent="0.2">
      <c r="E108" t="s">
        <v>67</v>
      </c>
      <c r="F108" s="14">
        <f>D68</f>
        <v>4776.769077996928</v>
      </c>
      <c r="G108" s="14">
        <f>F108*E102/12</f>
        <v>1990.3204491653867</v>
      </c>
      <c r="H108" s="14">
        <f>E100*F108*E103/12</f>
        <v>4299.0921701972356</v>
      </c>
      <c r="I108" s="14">
        <f t="shared" ref="I108:I114" si="2">G108+H108</f>
        <v>6289.4126193626225</v>
      </c>
      <c r="J108" s="40">
        <f>I108/(E101*3600)</f>
        <v>7.2794127538919243E-2</v>
      </c>
    </row>
    <row r="109" spans="3:10" x14ac:dyDescent="0.2">
      <c r="E109" t="s">
        <v>68</v>
      </c>
      <c r="F109" s="14">
        <f>D69</f>
        <v>8020.3948013245645</v>
      </c>
      <c r="G109" s="14">
        <f>F109*E102/12</f>
        <v>3341.8311672185687</v>
      </c>
      <c r="H109" s="14">
        <f>E100*F109*E103/12</f>
        <v>7218.3553211921071</v>
      </c>
      <c r="I109" s="14">
        <f t="shared" si="2"/>
        <v>10560.186488410676</v>
      </c>
      <c r="J109" s="40">
        <f>I109/(E101*3600)</f>
        <v>0.12222438065290135</v>
      </c>
    </row>
    <row r="110" spans="3:10" s="21" customFormat="1" ht="38.25" x14ac:dyDescent="0.2">
      <c r="F110" s="21" t="s">
        <v>85</v>
      </c>
      <c r="G110" s="14"/>
      <c r="H110" s="14"/>
      <c r="I110" s="14"/>
      <c r="J110" s="40"/>
    </row>
    <row r="111" spans="3:10" x14ac:dyDescent="0.2">
      <c r="D111" t="s">
        <v>64</v>
      </c>
      <c r="E111" t="s">
        <v>72</v>
      </c>
      <c r="F111" s="14"/>
      <c r="G111" s="14"/>
      <c r="H111" s="14"/>
      <c r="I111" s="14"/>
      <c r="J111" s="40"/>
    </row>
    <row r="112" spans="3:10" x14ac:dyDescent="0.2">
      <c r="E112" t="s">
        <v>66</v>
      </c>
      <c r="F112" s="14">
        <f>D72</f>
        <v>1778.4196439345983</v>
      </c>
      <c r="G112" s="14">
        <f>F112*E102/12</f>
        <v>741.00818497274929</v>
      </c>
      <c r="H112" s="14">
        <f>E100*F112*E103/12</f>
        <v>1600.5776795411384</v>
      </c>
      <c r="I112" s="14">
        <f t="shared" si="2"/>
        <v>2341.5858645138878</v>
      </c>
      <c r="J112" s="40">
        <f>I112/(E101*3600)</f>
        <v>2.7101688246688516E-2</v>
      </c>
    </row>
    <row r="113" spans="2:13" x14ac:dyDescent="0.2">
      <c r="E113" t="s">
        <v>67</v>
      </c>
      <c r="F113" s="14">
        <f>D73</f>
        <v>3422.3052760459082</v>
      </c>
      <c r="G113" s="14">
        <f>F113*E102/12</f>
        <v>1425.9605316857951</v>
      </c>
      <c r="H113" s="14">
        <f>E100*F113*E103/12</f>
        <v>3080.0747484413173</v>
      </c>
      <c r="I113" s="14">
        <f t="shared" si="2"/>
        <v>4506.0352801271129</v>
      </c>
      <c r="J113" s="40">
        <f>I113/(E101*3600)</f>
        <v>5.2153186112582323E-2</v>
      </c>
    </row>
    <row r="114" spans="2:13" x14ac:dyDescent="0.2">
      <c r="E114" t="s">
        <v>68</v>
      </c>
      <c r="F114" s="14">
        <f>D74</f>
        <v>5754.2701451766434</v>
      </c>
      <c r="G114" s="14">
        <f>F114*E102/12</f>
        <v>2397.6125604902682</v>
      </c>
      <c r="H114" s="14">
        <f>E100*F114*E103/12</f>
        <v>5178.8431306589791</v>
      </c>
      <c r="I114" s="14">
        <f t="shared" si="2"/>
        <v>7576.4556911492473</v>
      </c>
      <c r="J114" s="40">
        <f>I114/(E101*3600)</f>
        <v>8.7690459388301473E-2</v>
      </c>
    </row>
    <row r="116" spans="2:13" ht="38.25" x14ac:dyDescent="0.2">
      <c r="B116" s="20" t="s">
        <v>117</v>
      </c>
    </row>
    <row r="117" spans="2:13" ht="15" x14ac:dyDescent="0.2">
      <c r="C117" s="35" t="s">
        <v>97</v>
      </c>
    </row>
    <row r="119" spans="2:13" ht="15" x14ac:dyDescent="0.2">
      <c r="C119" s="35"/>
    </row>
    <row r="120" spans="2:13" ht="17.25" x14ac:dyDescent="0.2">
      <c r="C120" s="35" t="s">
        <v>93</v>
      </c>
      <c r="E120" s="38" t="s">
        <v>94</v>
      </c>
    </row>
    <row r="121" spans="2:13" ht="15" x14ac:dyDescent="0.2">
      <c r="B121" s="36"/>
      <c r="D121" s="35" t="s">
        <v>95</v>
      </c>
      <c r="E121" s="38" t="s">
        <v>100</v>
      </c>
      <c r="G121" s="5">
        <f>E103</f>
        <v>24</v>
      </c>
      <c r="H121" s="6" t="s">
        <v>101</v>
      </c>
    </row>
    <row r="122" spans="2:13" ht="15" x14ac:dyDescent="0.2">
      <c r="C122" s="38" t="s">
        <v>96</v>
      </c>
      <c r="E122" s="38" t="s">
        <v>98</v>
      </c>
    </row>
    <row r="123" spans="2:13" ht="15" x14ac:dyDescent="0.2">
      <c r="C123" s="35"/>
    </row>
    <row r="124" spans="2:13" ht="51" x14ac:dyDescent="0.2">
      <c r="B124" s="21"/>
      <c r="C124" s="21"/>
      <c r="D124" s="21"/>
      <c r="E124" s="21"/>
      <c r="F124" s="17" t="s">
        <v>85</v>
      </c>
      <c r="G124" s="17" t="s">
        <v>99</v>
      </c>
      <c r="H124" s="17" t="s">
        <v>102</v>
      </c>
      <c r="I124" s="17" t="s">
        <v>103</v>
      </c>
      <c r="J124" s="31" t="s">
        <v>114</v>
      </c>
      <c r="K124" s="21"/>
      <c r="L124" s="21"/>
      <c r="M124" s="21"/>
    </row>
    <row r="125" spans="2:13" ht="38.25" x14ac:dyDescent="0.2">
      <c r="D125" s="21" t="s">
        <v>63</v>
      </c>
      <c r="E125" t="s">
        <v>72</v>
      </c>
      <c r="J125" s="41"/>
    </row>
    <row r="126" spans="2:13" x14ac:dyDescent="0.2">
      <c r="D126" s="21"/>
      <c r="E126" t="s">
        <v>66</v>
      </c>
      <c r="F126" s="14">
        <f>D67</f>
        <v>1483.2393777614423</v>
      </c>
      <c r="G126" s="39">
        <f>SQRT(F126)</f>
        <v>38.512846918417267</v>
      </c>
      <c r="H126" s="40">
        <f>0.0286+0.0015*G126+0.0246*G121</f>
        <v>0.67676927037762591</v>
      </c>
      <c r="I126" s="40">
        <f>H126/28.32</f>
        <v>2.3897219999209955E-2</v>
      </c>
      <c r="J126" s="42">
        <f>J107/I126</f>
        <v>0.94585804809136753</v>
      </c>
    </row>
    <row r="127" spans="2:13" x14ac:dyDescent="0.2">
      <c r="D127" s="21"/>
      <c r="E127" t="s">
        <v>67</v>
      </c>
      <c r="F127" s="14">
        <f>D68</f>
        <v>4776.769077996928</v>
      </c>
      <c r="G127" s="39">
        <f t="shared" ref="G127:G133" si="3">SQRT(F127)</f>
        <v>69.114174219163814</v>
      </c>
      <c r="H127" s="40">
        <f>0.0286+0.0015*G127+0.0246*G121</f>
        <v>0.72267126132874582</v>
      </c>
      <c r="I127" s="40">
        <f t="shared" ref="I127:I133" si="4">H127/28.32</f>
        <v>2.5518053013020684E-2</v>
      </c>
      <c r="J127" s="42">
        <f t="shared" ref="J127:J133" si="5">J108/I127</f>
        <v>2.8526521009175645</v>
      </c>
    </row>
    <row r="128" spans="2:13" x14ac:dyDescent="0.2">
      <c r="D128" s="21"/>
      <c r="E128" t="s">
        <v>68</v>
      </c>
      <c r="F128" s="14">
        <f>D69</f>
        <v>8020.3948013245645</v>
      </c>
      <c r="G128" s="39">
        <f t="shared" si="3"/>
        <v>89.556656934727997</v>
      </c>
      <c r="H128" s="40">
        <f>0.0286+0.0015*G128+0.0246*G121</f>
        <v>0.75333498540209209</v>
      </c>
      <c r="I128" s="40">
        <f t="shared" si="4"/>
        <v>2.6600811631429806E-2</v>
      </c>
      <c r="J128" s="42">
        <f t="shared" si="5"/>
        <v>4.5947613308343156</v>
      </c>
    </row>
    <row r="129" spans="2:10" x14ac:dyDescent="0.2">
      <c r="D129" s="21"/>
      <c r="G129" s="39"/>
      <c r="H129" s="40"/>
      <c r="I129" s="40"/>
      <c r="J129" s="42"/>
    </row>
    <row r="130" spans="2:10" ht="38.25" x14ac:dyDescent="0.2">
      <c r="D130" s="21" t="s">
        <v>64</v>
      </c>
      <c r="E130" t="s">
        <v>72</v>
      </c>
      <c r="G130" s="39"/>
      <c r="H130" s="40"/>
      <c r="I130" s="40"/>
      <c r="J130" s="42"/>
    </row>
    <row r="131" spans="2:10" x14ac:dyDescent="0.2">
      <c r="E131" t="s">
        <v>66</v>
      </c>
      <c r="F131" s="14">
        <f>D72</f>
        <v>1778.4196439345983</v>
      </c>
      <c r="G131" s="39">
        <f t="shared" si="3"/>
        <v>42.171313044943219</v>
      </c>
      <c r="H131" s="40">
        <f>0.0286+0.0015*G131+0.0246*G121</f>
        <v>0.68225696956741488</v>
      </c>
      <c r="I131" s="40">
        <f t="shared" si="4"/>
        <v>2.4090994688114931E-2</v>
      </c>
      <c r="J131" s="42">
        <f t="shared" si="5"/>
        <v>1.1249717414141842</v>
      </c>
    </row>
    <row r="132" spans="2:10" x14ac:dyDescent="0.2">
      <c r="E132" t="s">
        <v>67</v>
      </c>
      <c r="F132" s="14">
        <f>D73</f>
        <v>3422.3052760459082</v>
      </c>
      <c r="G132" s="39">
        <f t="shared" si="3"/>
        <v>58.500472442929109</v>
      </c>
      <c r="H132" s="40">
        <f>0.0286+0.0015*G132+0.0246*G121</f>
        <v>0.70675070866439371</v>
      </c>
      <c r="I132" s="40">
        <f t="shared" si="4"/>
        <v>2.4955886605381134E-2</v>
      </c>
      <c r="J132" s="42">
        <f t="shared" si="5"/>
        <v>2.0898149978505169</v>
      </c>
    </row>
    <row r="133" spans="2:10" x14ac:dyDescent="0.2">
      <c r="E133" t="s">
        <v>68</v>
      </c>
      <c r="F133" s="14">
        <f>D74</f>
        <v>5754.2701451766434</v>
      </c>
      <c r="G133" s="39">
        <f t="shared" si="3"/>
        <v>75.856905718442292</v>
      </c>
      <c r="H133" s="40">
        <f>0.0286+0.0015*G133+0.0246*G121</f>
        <v>0.73278535857766347</v>
      </c>
      <c r="I133" s="40">
        <f t="shared" si="4"/>
        <v>2.5875189215312976E-2</v>
      </c>
      <c r="J133" s="42">
        <f t="shared" si="5"/>
        <v>3.3889784789054267</v>
      </c>
    </row>
    <row r="136" spans="2:10" ht="25.5" x14ac:dyDescent="0.2">
      <c r="B136" s="20" t="s">
        <v>118</v>
      </c>
    </row>
    <row r="137" spans="2:10" x14ac:dyDescent="0.2">
      <c r="C137" s="6" t="s">
        <v>127</v>
      </c>
    </row>
    <row r="159" spans="4:4" x14ac:dyDescent="0.2">
      <c r="D159" t="s">
        <v>119</v>
      </c>
    </row>
    <row r="161" spans="4:8" x14ac:dyDescent="0.2">
      <c r="D161" s="6" t="s">
        <v>120</v>
      </c>
    </row>
    <row r="162" spans="4:8" ht="14.25" x14ac:dyDescent="0.2">
      <c r="D162" s="6" t="s">
        <v>121</v>
      </c>
    </row>
    <row r="163" spans="4:8" x14ac:dyDescent="0.2">
      <c r="D163" s="6" t="s">
        <v>123</v>
      </c>
      <c r="E163" s="22">
        <v>0.55000000000000004</v>
      </c>
    </row>
    <row r="164" spans="4:8" x14ac:dyDescent="0.2">
      <c r="D164" s="6" t="s">
        <v>124</v>
      </c>
      <c r="E164">
        <f>E103</f>
        <v>24</v>
      </c>
      <c r="F164" s="6" t="s">
        <v>101</v>
      </c>
      <c r="G164">
        <f>E164/12</f>
        <v>2</v>
      </c>
      <c r="H164" s="6" t="s">
        <v>125</v>
      </c>
    </row>
    <row r="166" spans="4:8" s="21" customFormat="1" ht="25.5" x14ac:dyDescent="0.2">
      <c r="F166" s="17" t="s">
        <v>122</v>
      </c>
      <c r="G166" s="17" t="s">
        <v>126</v>
      </c>
      <c r="H166" s="31" t="s">
        <v>129</v>
      </c>
    </row>
    <row r="167" spans="4:8" x14ac:dyDescent="0.2">
      <c r="D167" t="s">
        <v>63</v>
      </c>
      <c r="E167" t="s">
        <v>72</v>
      </c>
      <c r="H167" s="41"/>
    </row>
    <row r="168" spans="4:8" x14ac:dyDescent="0.2">
      <c r="E168" t="s">
        <v>66</v>
      </c>
      <c r="F168" s="40">
        <f>J107</f>
        <v>2.2603377863262719E-2</v>
      </c>
      <c r="G168" s="40">
        <f>F168/((E163*8.025)*SQRT(G164))</f>
        <v>3.6211842004723787E-3</v>
      </c>
      <c r="H168" s="24">
        <f>24*SQRT(G168/3.1414)</f>
        <v>0.81484486008614831</v>
      </c>
    </row>
    <row r="169" spans="4:8" x14ac:dyDescent="0.2">
      <c r="E169" t="s">
        <v>67</v>
      </c>
      <c r="F169" s="40">
        <f t="shared" ref="F169:F175" si="6">J108</f>
        <v>7.2794127538919243E-2</v>
      </c>
      <c r="G169" s="40">
        <f>F169/((E163*8.025)*SQRT(G164))</f>
        <v>1.166201556801545E-2</v>
      </c>
      <c r="H169" s="24">
        <f t="shared" ref="H169:H175" si="7">24*SQRT(G169/3.1414)</f>
        <v>1.4622998331149768</v>
      </c>
    </row>
    <row r="170" spans="4:8" x14ac:dyDescent="0.2">
      <c r="E170" t="s">
        <v>68</v>
      </c>
      <c r="F170" s="40">
        <f t="shared" si="6"/>
        <v>0.12222438065290135</v>
      </c>
      <c r="G170" s="40">
        <f>F170/((E163*8.025)*SQRT(G164))</f>
        <v>1.9581011245764349E-2</v>
      </c>
      <c r="H170" s="24">
        <f t="shared" si="7"/>
        <v>1.8948165983248637</v>
      </c>
    </row>
    <row r="171" spans="4:8" x14ac:dyDescent="0.2">
      <c r="F171" s="40"/>
      <c r="G171" s="40"/>
      <c r="H171" s="24"/>
    </row>
    <row r="172" spans="4:8" x14ac:dyDescent="0.2">
      <c r="D172" t="s">
        <v>64</v>
      </c>
      <c r="E172" t="s">
        <v>72</v>
      </c>
      <c r="F172" s="40"/>
      <c r="G172" s="40"/>
      <c r="H172" s="24"/>
    </row>
    <row r="173" spans="4:8" x14ac:dyDescent="0.2">
      <c r="E173" t="s">
        <v>66</v>
      </c>
      <c r="F173" s="40">
        <f t="shared" si="6"/>
        <v>2.7101688246688516E-2</v>
      </c>
      <c r="G173" s="40">
        <f>F173/((E163*8.025)*SQRT(G164))</f>
        <v>4.341838015482798E-3</v>
      </c>
      <c r="H173" s="24">
        <f t="shared" si="7"/>
        <v>0.89224974073062135</v>
      </c>
    </row>
    <row r="174" spans="4:8" x14ac:dyDescent="0.2">
      <c r="E174" t="s">
        <v>67</v>
      </c>
      <c r="F174" s="40">
        <f t="shared" si="6"/>
        <v>5.2153186112582323E-2</v>
      </c>
      <c r="G174" s="40">
        <f>F174/((E163*8.025)*SQRT(G164))</f>
        <v>8.3552243694570445E-3</v>
      </c>
      <c r="H174" s="24">
        <f t="shared" si="7"/>
        <v>1.2377378744217529</v>
      </c>
    </row>
    <row r="175" spans="4:8" x14ac:dyDescent="0.2">
      <c r="E175" t="s">
        <v>68</v>
      </c>
      <c r="F175" s="40">
        <f t="shared" si="6"/>
        <v>8.7690459388301473E-2</v>
      </c>
      <c r="G175" s="40">
        <f>F175/((E163*8.025)*SQRT(G164))</f>
        <v>1.4048489035135999E-2</v>
      </c>
      <c r="H175" s="24">
        <f t="shared" si="7"/>
        <v>1.6049608032781721</v>
      </c>
    </row>
    <row r="178" spans="2:10" ht="25.5" x14ac:dyDescent="0.2">
      <c r="B178" s="20" t="s">
        <v>128</v>
      </c>
    </row>
    <row r="179" spans="2:10" ht="15" x14ac:dyDescent="0.25">
      <c r="C179" s="34" t="s">
        <v>130</v>
      </c>
    </row>
    <row r="185" spans="2:10" ht="15" x14ac:dyDescent="0.2">
      <c r="C185" s="36" t="s">
        <v>93</v>
      </c>
    </row>
    <row r="186" spans="2:10" ht="15" x14ac:dyDescent="0.2">
      <c r="C186" s="43" t="s">
        <v>131</v>
      </c>
      <c r="D186" s="45" t="s">
        <v>132</v>
      </c>
    </row>
    <row r="187" spans="2:10" ht="15" x14ac:dyDescent="0.2">
      <c r="C187" s="43" t="s">
        <v>133</v>
      </c>
      <c r="D187" s="45" t="s">
        <v>134</v>
      </c>
      <c r="E187" s="44"/>
      <c r="I187" s="6" t="s">
        <v>159</v>
      </c>
    </row>
    <row r="188" spans="2:10" ht="18" x14ac:dyDescent="0.2">
      <c r="C188" s="43" t="s">
        <v>135</v>
      </c>
      <c r="D188" s="45" t="s">
        <v>136</v>
      </c>
      <c r="E188" s="44"/>
      <c r="I188" s="22">
        <v>50</v>
      </c>
      <c r="J188" s="6" t="s">
        <v>160</v>
      </c>
    </row>
    <row r="189" spans="2:10" ht="18" x14ac:dyDescent="0.2">
      <c r="C189" s="43" t="s">
        <v>137</v>
      </c>
      <c r="D189" s="45" t="s">
        <v>139</v>
      </c>
      <c r="E189" s="44"/>
      <c r="I189" s="22">
        <v>0.5</v>
      </c>
      <c r="J189" s="6" t="s">
        <v>158</v>
      </c>
    </row>
    <row r="190" spans="2:10" ht="15" x14ac:dyDescent="0.25">
      <c r="C190" s="37" t="s">
        <v>138</v>
      </c>
      <c r="D190" s="34" t="s">
        <v>162</v>
      </c>
      <c r="I190" s="22">
        <v>0.5</v>
      </c>
      <c r="J190" s="6" t="s">
        <v>158</v>
      </c>
    </row>
    <row r="193" spans="9:9" x14ac:dyDescent="0.2">
      <c r="I193" s="6" t="s">
        <v>165</v>
      </c>
    </row>
    <row r="194" spans="9:9" x14ac:dyDescent="0.2">
      <c r="I194">
        <f>4*I188*((I190*I190)+2+I189*I190)</f>
        <v>500</v>
      </c>
    </row>
    <row r="216" spans="3:6" ht="15.75" thickBot="1" x14ac:dyDescent="0.25">
      <c r="C216" s="46" t="s">
        <v>140</v>
      </c>
    </row>
    <row r="217" spans="3:6" ht="15.75" thickBot="1" x14ac:dyDescent="0.25">
      <c r="C217" s="47"/>
      <c r="D217" s="51" t="s">
        <v>142</v>
      </c>
      <c r="E217" s="51"/>
      <c r="F217" s="51"/>
    </row>
    <row r="218" spans="3:6" ht="15.75" thickBot="1" x14ac:dyDescent="0.25">
      <c r="C218" s="48" t="s">
        <v>141</v>
      </c>
      <c r="D218" s="50" t="s">
        <v>143</v>
      </c>
      <c r="E218" s="50" t="s">
        <v>144</v>
      </c>
      <c r="F218" s="50" t="s">
        <v>145</v>
      </c>
    </row>
    <row r="219" spans="3:6" ht="15" x14ac:dyDescent="0.2">
      <c r="C219" s="52" t="s">
        <v>146</v>
      </c>
      <c r="D219" s="49">
        <v>33.5</v>
      </c>
      <c r="E219" s="49">
        <v>40</v>
      </c>
      <c r="F219" s="49">
        <v>47</v>
      </c>
    </row>
    <row r="220" spans="3:6" ht="30" x14ac:dyDescent="0.2">
      <c r="C220" s="52" t="s">
        <v>147</v>
      </c>
      <c r="D220" s="49">
        <v>37</v>
      </c>
      <c r="E220" s="49">
        <v>47</v>
      </c>
      <c r="F220" s="49" t="s">
        <v>148</v>
      </c>
    </row>
    <row r="221" spans="3:6" ht="30" x14ac:dyDescent="0.2">
      <c r="C221" s="52" t="s">
        <v>149</v>
      </c>
      <c r="D221" s="49">
        <v>42</v>
      </c>
      <c r="E221" s="49" t="s">
        <v>150</v>
      </c>
      <c r="F221" s="49" t="s">
        <v>148</v>
      </c>
    </row>
    <row r="222" spans="3:6" ht="15" x14ac:dyDescent="0.2">
      <c r="C222" s="52" t="s">
        <v>151</v>
      </c>
      <c r="D222" s="49">
        <v>40</v>
      </c>
      <c r="E222" s="49">
        <v>54</v>
      </c>
      <c r="F222" s="49">
        <v>67</v>
      </c>
    </row>
    <row r="223" spans="3:6" ht="30" x14ac:dyDescent="0.2">
      <c r="C223" s="52" t="s">
        <v>152</v>
      </c>
      <c r="D223" s="49">
        <v>47</v>
      </c>
      <c r="E223" s="49">
        <v>67</v>
      </c>
      <c r="F223" s="49" t="s">
        <v>148</v>
      </c>
    </row>
    <row r="224" spans="3:6" ht="15.75" thickBot="1" x14ac:dyDescent="0.25">
      <c r="C224" s="53" t="s">
        <v>153</v>
      </c>
      <c r="D224" s="50">
        <v>54</v>
      </c>
      <c r="E224" s="50">
        <v>74</v>
      </c>
      <c r="F224" s="50">
        <v>94</v>
      </c>
    </row>
    <row r="225" spans="3:14" ht="15" x14ac:dyDescent="0.2">
      <c r="C225" s="35" t="s">
        <v>154</v>
      </c>
    </row>
    <row r="227" spans="3:14" ht="18" x14ac:dyDescent="0.2">
      <c r="C227" s="35" t="s">
        <v>156</v>
      </c>
    </row>
    <row r="228" spans="3:14" ht="15" x14ac:dyDescent="0.2">
      <c r="C228" s="35" t="s">
        <v>157</v>
      </c>
    </row>
    <row r="229" spans="3:14" ht="15" x14ac:dyDescent="0.2">
      <c r="C229" s="35"/>
    </row>
    <row r="230" spans="3:14" ht="15" x14ac:dyDescent="0.2">
      <c r="C230" s="35" t="s">
        <v>96</v>
      </c>
    </row>
    <row r="231" spans="3:14" ht="15" x14ac:dyDescent="0.2">
      <c r="C231" s="35"/>
    </row>
    <row r="232" spans="3:14" ht="15" x14ac:dyDescent="0.2">
      <c r="C232" s="35" t="s">
        <v>96</v>
      </c>
    </row>
    <row r="233" spans="3:14" ht="15" x14ac:dyDescent="0.2">
      <c r="C233" s="35"/>
    </row>
    <row r="234" spans="3:14" ht="18" x14ac:dyDescent="0.35">
      <c r="C234" s="34" t="s">
        <v>155</v>
      </c>
    </row>
    <row r="238" spans="3:14" s="21" customFormat="1" ht="89.25" x14ac:dyDescent="0.2">
      <c r="F238" s="17" t="s">
        <v>122</v>
      </c>
      <c r="G238" s="17" t="s">
        <v>161</v>
      </c>
      <c r="H238" s="17" t="s">
        <v>163</v>
      </c>
      <c r="I238" s="17" t="s">
        <v>166</v>
      </c>
      <c r="J238" s="17" t="s">
        <v>164</v>
      </c>
      <c r="K238" s="17" t="s">
        <v>167</v>
      </c>
      <c r="L238" s="31" t="s">
        <v>168</v>
      </c>
      <c r="M238" s="17" t="s">
        <v>169</v>
      </c>
      <c r="N238" s="31" t="s">
        <v>170</v>
      </c>
    </row>
    <row r="239" spans="3:14" ht="38.25" x14ac:dyDescent="0.2">
      <c r="D239" s="21" t="s">
        <v>63</v>
      </c>
      <c r="E239" t="s">
        <v>72</v>
      </c>
      <c r="L239" s="41"/>
      <c r="N239" s="41"/>
    </row>
    <row r="240" spans="3:14" x14ac:dyDescent="0.2">
      <c r="D240" s="21"/>
      <c r="E240" t="s">
        <v>66</v>
      </c>
      <c r="F240" s="40">
        <f>J107</f>
        <v>2.2603377863262719E-2</v>
      </c>
      <c r="G240" s="14">
        <f>D67</f>
        <v>1483.2393777614423</v>
      </c>
      <c r="H240">
        <f>86400*12*F240/G240</f>
        <v>15.8</v>
      </c>
      <c r="I240" s="10">
        <f>H240/24</f>
        <v>0.65833333333333333</v>
      </c>
      <c r="J240" s="12">
        <f>SQRT(I194/I240)</f>
        <v>27.55891273047752</v>
      </c>
      <c r="K240" s="12">
        <f>SQRT(G240)</f>
        <v>38.512846918417267</v>
      </c>
      <c r="L240" s="42">
        <f>K240/J240</f>
        <v>1.3974733798487537</v>
      </c>
      <c r="M240" s="39">
        <f>J126</f>
        <v>0.94585804809136753</v>
      </c>
      <c r="N240" s="42">
        <f t="shared" ref="N240" si="8">LARGE(L240:M240,1)</f>
        <v>1.3974733798487537</v>
      </c>
    </row>
    <row r="241" spans="4:14" x14ac:dyDescent="0.2">
      <c r="D241" s="21"/>
      <c r="E241" t="s">
        <v>67</v>
      </c>
      <c r="F241" s="40">
        <f t="shared" ref="F241:F247" si="9">J108</f>
        <v>7.2794127538919243E-2</v>
      </c>
      <c r="G241" s="14">
        <f>D68</f>
        <v>4776.769077996928</v>
      </c>
      <c r="H241">
        <f t="shared" ref="H241:H247" si="10">86400*12*F241/G241</f>
        <v>15.800000000000002</v>
      </c>
      <c r="I241" s="10">
        <f t="shared" ref="I241:I247" si="11">H241/24</f>
        <v>0.65833333333333344</v>
      </c>
      <c r="J241" s="12">
        <f>SQRT(I194/I241)</f>
        <v>27.55891273047752</v>
      </c>
      <c r="K241" s="12">
        <f t="shared" ref="K241:K247" si="12">SQRT(G241)</f>
        <v>69.114174219163814</v>
      </c>
      <c r="L241" s="42">
        <f t="shared" ref="L241:L247" si="13">K241/J241</f>
        <v>2.5078701360641906</v>
      </c>
      <c r="M241" s="39">
        <f t="shared" ref="M241:M247" si="14">J127</f>
        <v>2.8526521009175645</v>
      </c>
      <c r="N241" s="42">
        <f>LARGE(L241:M241,1)</f>
        <v>2.8526521009175645</v>
      </c>
    </row>
    <row r="242" spans="4:14" x14ac:dyDescent="0.2">
      <c r="D242" s="21"/>
      <c r="E242" t="s">
        <v>68</v>
      </c>
      <c r="F242" s="40">
        <f t="shared" si="9"/>
        <v>0.12222438065290135</v>
      </c>
      <c r="G242" s="14">
        <f>D69</f>
        <v>8020.3948013245645</v>
      </c>
      <c r="H242">
        <f t="shared" si="10"/>
        <v>15.799999999999999</v>
      </c>
      <c r="I242" s="10">
        <f t="shared" si="11"/>
        <v>0.65833333333333333</v>
      </c>
      <c r="J242" s="12">
        <f>SQRT(I194/I242)</f>
        <v>27.55891273047752</v>
      </c>
      <c r="K242" s="12">
        <f t="shared" si="12"/>
        <v>89.556656934727997</v>
      </c>
      <c r="L242" s="42">
        <f t="shared" si="13"/>
        <v>3.249644055648353</v>
      </c>
      <c r="M242" s="39">
        <f t="shared" si="14"/>
        <v>4.5947613308343156</v>
      </c>
      <c r="N242" s="42">
        <f t="shared" ref="N242:N247" si="15">LARGE(L242:M242,1)</f>
        <v>4.5947613308343156</v>
      </c>
    </row>
    <row r="243" spans="4:14" x14ac:dyDescent="0.2">
      <c r="D243" s="21"/>
      <c r="F243" s="40"/>
      <c r="G243" s="14"/>
      <c r="I243" s="10"/>
      <c r="J243" s="12"/>
      <c r="K243" s="12"/>
      <c r="L243" s="42"/>
      <c r="M243" s="39"/>
      <c r="N243" s="42"/>
    </row>
    <row r="244" spans="4:14" ht="38.25" x14ac:dyDescent="0.2">
      <c r="D244" s="21" t="s">
        <v>64</v>
      </c>
      <c r="E244" t="s">
        <v>72</v>
      </c>
      <c r="F244" s="40"/>
      <c r="G244" s="14"/>
      <c r="I244" s="10"/>
      <c r="J244" s="12"/>
      <c r="K244" s="12"/>
      <c r="L244" s="42"/>
      <c r="M244" s="39"/>
      <c r="N244" s="42"/>
    </row>
    <row r="245" spans="4:14" x14ac:dyDescent="0.2">
      <c r="E245" t="s">
        <v>66</v>
      </c>
      <c r="F245" s="40">
        <f t="shared" si="9"/>
        <v>2.7101688246688516E-2</v>
      </c>
      <c r="G245" s="14">
        <f>D72</f>
        <v>1778.4196439345983</v>
      </c>
      <c r="H245">
        <f t="shared" si="10"/>
        <v>15.8</v>
      </c>
      <c r="I245" s="10">
        <f t="shared" si="11"/>
        <v>0.65833333333333333</v>
      </c>
      <c r="J245" s="12">
        <f>SQRT(I194/I245)</f>
        <v>27.55891273047752</v>
      </c>
      <c r="K245" s="12">
        <f t="shared" si="12"/>
        <v>42.171313044943219</v>
      </c>
      <c r="L245" s="42">
        <f t="shared" si="13"/>
        <v>1.5302241223147306</v>
      </c>
      <c r="M245" s="39">
        <f t="shared" si="14"/>
        <v>1.1249717414141842</v>
      </c>
      <c r="N245" s="42">
        <f t="shared" si="15"/>
        <v>1.5302241223147306</v>
      </c>
    </row>
    <row r="246" spans="4:14" x14ac:dyDescent="0.2">
      <c r="E246" t="s">
        <v>67</v>
      </c>
      <c r="F246" s="40">
        <f t="shared" si="9"/>
        <v>5.2153186112582323E-2</v>
      </c>
      <c r="G246" s="14">
        <f>D73</f>
        <v>3422.3052760459082</v>
      </c>
      <c r="H246">
        <f t="shared" si="10"/>
        <v>15.8</v>
      </c>
      <c r="I246" s="10">
        <f t="shared" si="11"/>
        <v>0.65833333333333333</v>
      </c>
      <c r="J246" s="12">
        <f>SQRT(I194/I246)</f>
        <v>27.55891273047752</v>
      </c>
      <c r="K246" s="12">
        <f t="shared" si="12"/>
        <v>58.500472442929109</v>
      </c>
      <c r="L246" s="42">
        <f t="shared" si="13"/>
        <v>2.122742396082745</v>
      </c>
      <c r="M246" s="39">
        <f t="shared" si="14"/>
        <v>2.0898149978505169</v>
      </c>
      <c r="N246" s="42">
        <f t="shared" si="15"/>
        <v>2.122742396082745</v>
      </c>
    </row>
    <row r="247" spans="4:14" x14ac:dyDescent="0.2">
      <c r="E247" t="s">
        <v>68</v>
      </c>
      <c r="F247" s="40">
        <f t="shared" si="9"/>
        <v>8.7690459388301473E-2</v>
      </c>
      <c r="G247" s="14">
        <f>D74</f>
        <v>5754.2701451766434</v>
      </c>
      <c r="H247">
        <f t="shared" si="10"/>
        <v>15.8</v>
      </c>
      <c r="I247" s="10">
        <f t="shared" si="11"/>
        <v>0.65833333333333333</v>
      </c>
      <c r="J247" s="12">
        <f>SQRT(I194/I247)</f>
        <v>27.55891273047752</v>
      </c>
      <c r="K247" s="12">
        <f t="shared" si="12"/>
        <v>75.856905718442292</v>
      </c>
      <c r="L247" s="42">
        <f t="shared" si="13"/>
        <v>2.752536228853173</v>
      </c>
      <c r="M247" s="39">
        <f t="shared" si="14"/>
        <v>3.3889784789054267</v>
      </c>
      <c r="N247" s="42">
        <f t="shared" si="15"/>
        <v>3.3889784789054267</v>
      </c>
    </row>
  </sheetData>
  <mergeCells count="2">
    <mergeCell ref="G30:I32"/>
    <mergeCell ref="D217:F217"/>
  </mergeCells>
  <phoneticPr fontId="1" type="noConversion"/>
  <printOptions gridLines="1"/>
  <pageMargins left="0.75" right="0.5" top="0.5" bottom="0.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Environmental Engineer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Pitt</dc:creator>
  <cp:lastModifiedBy>Bob</cp:lastModifiedBy>
  <cp:lastPrinted>2003-10-27T06:31:47Z</cp:lastPrinted>
  <dcterms:created xsi:type="dcterms:W3CDTF">2003-10-27T04:21:53Z</dcterms:created>
  <dcterms:modified xsi:type="dcterms:W3CDTF">2017-09-29T02:15:34Z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360794066</vt:i4>
  </property>
  <property fmtid="{D5CDD505-2E9C-101B-9397-08002B2CF9AE}" pid="3" name="_EmailSubject">
    <vt:lpwstr>CEC SAR and loadung.xls</vt:lpwstr>
  </property>
  <property fmtid="{D5CDD505-2E9C-101B-9397-08002B2CF9AE}" pid="4" name="_AuthorEmail">
    <vt:lpwstr>rpittal@charter.net</vt:lpwstr>
  </property>
  <property fmtid="{D5CDD505-2E9C-101B-9397-08002B2CF9AE}" pid="5" name="_AuthorEmailDisplayName">
    <vt:lpwstr>Bob and Kathy Pitt</vt:lpwstr>
  </property>
  <property fmtid="{D5CDD505-2E9C-101B-9397-08002B2CF9AE}" pid="6" name="_ReviewingToolsShownOnce">
    <vt:lpwstr/>
  </property>
</Properties>
</file>